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ve and Pre-IPO SPACs" sheetId="1" r:id="rId4"/>
    <sheet state="visible" name="Printable Version" sheetId="2" r:id="rId5"/>
  </sheets>
  <definedNames>
    <definedName hidden="1" localSheetId="0" name="_xlnm._FilterDatabase">'Active and Pre-IPO SPACs'!$A$4:$AG$819</definedName>
  </definedNames>
  <calcPr/>
</workbook>
</file>

<file path=xl/sharedStrings.xml><?xml version="1.0" encoding="utf-8"?>
<sst xmlns="http://schemas.openxmlformats.org/spreadsheetml/2006/main" count="52" uniqueCount="44">
  <si>
    <t>Active and Pre-IPO
Table</t>
  </si>
  <si>
    <t>IMPORTANT! Please download this spreadsheet (it is a one-time download only - no updates as of this time) as soon as you open it! This Google Sheet is replaced with a new version daily (and often several times throughout the day) and the sheet on this link will be inaccessible. To download, click 'File' in top left corner of window and download as Excel/ CSV file.</t>
  </si>
  <si>
    <r>
      <rPr>
        <rFont val="Arial"/>
        <b/>
        <i/>
        <color rgb="FF9FC5E8"/>
      </rPr>
      <t>Disclaimer</t>
    </r>
    <r>
      <rPr>
        <rFont val="Arial"/>
        <i/>
        <color rgb="FF9FC5E8"/>
      </rPr>
      <t xml:space="preserve">: Information is provided "as-is" and for informational purposes only. Please see </t>
    </r>
    <r>
      <rPr>
        <rFont val="Arial"/>
        <i/>
        <color rgb="FF9FC5E8"/>
        <u/>
      </rPr>
      <t>https://spactrack.net/contact</t>
    </r>
    <r>
      <rPr>
        <rFont val="Arial"/>
        <i/>
        <color rgb="FF9FC5E8"/>
      </rPr>
      <t xml:space="preserve"> for more Policies.</t>
    </r>
  </si>
  <si>
    <t>SPAC Highlights</t>
  </si>
  <si>
    <t>Market Data &amp; Unit / Warrant Information</t>
  </si>
  <si>
    <t>IPO &amp; Completion Information, SEC Filings Link, and Tags</t>
  </si>
  <si>
    <t>Deal Information (if a Definitive Agreement has been reached)</t>
  </si>
  <si>
    <t>SPAC Ticker</t>
  </si>
  <si>
    <t>Name</t>
  </si>
  <si>
    <t>Status</t>
  </si>
  <si>
    <t>Target Focus</t>
  </si>
  <si>
    <t>Target Company (if Deal Announced)</t>
  </si>
  <si>
    <t>Prominent Leadership / Directors / Advisors</t>
  </si>
  <si>
    <t>Trust Value (from last filing)</t>
  </si>
  <si>
    <t>Market Cap</t>
  </si>
  <si>
    <t>Commons Price</t>
  </si>
  <si>
    <t>Commons % Change Previous Day</t>
  </si>
  <si>
    <t>Unit Price</t>
  </si>
  <si>
    <t>Warrant Price</t>
  </si>
  <si>
    <t>Unit &amp; Warrant Details</t>
  </si>
  <si>
    <t>Estimated Unit Split Date</t>
  </si>
  <si>
    <t>Warrant Intrinsic Value</t>
  </si>
  <si>
    <t>IPO Date</t>
  </si>
  <si>
    <t>IPO Size (M)</t>
  </si>
  <si>
    <t>Underwriter(s)</t>
  </si>
  <si>
    <t>Estimated Completion Deadline Date</t>
  </si>
  <si>
    <t>% Progress to Deadline</t>
  </si>
  <si>
    <t>SEC Filings</t>
  </si>
  <si>
    <t>Tags</t>
  </si>
  <si>
    <t>Definitive Agreement (DA) Date</t>
  </si>
  <si>
    <t>Time Between IPO and DA (Months)</t>
  </si>
  <si>
    <t>DA Link</t>
  </si>
  <si>
    <t>Investor Presentation</t>
  </si>
  <si>
    <t>PIPE</t>
  </si>
  <si>
    <t>Pro-Forma Equity Value</t>
  </si>
  <si>
    <t>Pro-Forma EV</t>
  </si>
  <si>
    <t>Merger Vote Date (if Announced)</t>
  </si>
  <si>
    <t>Redemption Deadline Date</t>
  </si>
  <si>
    <t>Pro-forma Total Shares</t>
  </si>
  <si>
    <t>Pro-forma Market Cap at Current Common Share Price (Assumes no Redemptions)</t>
  </si>
  <si>
    <t>Active and Pre-IPO Table</t>
  </si>
  <si>
    <t>To Print, click 'File' in top left corner of this Google Sheet window and select 'Print'. If you download to Excel and then try to print, all of the columns may not fit on one page.</t>
  </si>
  <si>
    <r>
      <rPr>
        <rFont val="Arial"/>
        <b/>
        <i/>
        <color rgb="FF9FC5E8"/>
      </rPr>
      <t>Disclaimer</t>
    </r>
    <r>
      <rPr>
        <rFont val="Arial"/>
        <i/>
        <color rgb="FF9FC5E8"/>
      </rPr>
      <t xml:space="preserve">: Information is provided "as-is" and for informational purposes only. Please see </t>
    </r>
    <r>
      <rPr>
        <rFont val="Arial"/>
        <i/>
        <color rgb="FF9FC5E8"/>
        <u/>
      </rPr>
      <t>https://spactrack.net/contact</t>
    </r>
    <r>
      <rPr>
        <rFont val="Arial"/>
        <i/>
        <color rgb="FF9FC5E8"/>
      </rPr>
      <t xml:space="preserve"> for more Policies.</t>
    </r>
  </si>
  <si>
    <t xml:space="preserve">Unit &amp; Warrant Details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</si>
</sst>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yyyy&quot;-&quot;mm&quot;-&quot;dd"/>
    <numFmt numFmtId="166" formatCode="&quot;$&quot;#,##0.0"/>
    <numFmt numFmtId="167" formatCode="&quot;$&quot;#,##0.00"/>
    <numFmt numFmtId="168" formatCode="#,##0.0"/>
    <numFmt numFmtId="169" formatCode="0.0%"/>
  </numFmts>
  <fonts count="18">
    <font>
      <sz val="10.0"/>
      <color rgb="FF000000"/>
      <name val="Arial"/>
    </font>
    <font>
      <b/>
      <sz val="12.0"/>
      <color rgb="FFEFEFEF"/>
      <name val="Arial"/>
    </font>
    <font>
      <sz val="12.0"/>
      <color rgb="FFEFEFEF"/>
      <name val="Arial"/>
    </font>
    <font>
      <i/>
      <u/>
      <color rgb="FF9FC5E8"/>
      <name val="Arial"/>
    </font>
    <font>
      <color theme="1"/>
      <name val="Arial"/>
    </font>
    <font>
      <b/>
      <color theme="1"/>
      <name val="Arial"/>
    </font>
    <font>
      <b/>
      <i/>
      <color theme="1"/>
      <name val="Arial"/>
    </font>
    <font/>
    <font>
      <b/>
      <color rgb="FFFFFFFF"/>
      <name val="Arial"/>
    </font>
    <font>
      <color rgb="FF000000"/>
      <name val="Arial"/>
    </font>
    <font>
      <u/>
      <color rgb="FF0000FF"/>
    </font>
    <font>
      <u/>
      <color rgb="FF0000FF"/>
      <name val="Arial"/>
    </font>
    <font>
      <u/>
      <color rgb="FF0000FF"/>
      <name val="Arial"/>
    </font>
    <font>
      <b/>
      <sz val="10.0"/>
      <color theme="1"/>
      <name val="Arial"/>
    </font>
    <font>
      <sz val="10.0"/>
      <color theme="1"/>
      <name val="Arial"/>
    </font>
    <font>
      <u/>
      <color rgb="FF0000FF"/>
    </font>
    <font>
      <i/>
      <u/>
      <color rgb="FF9FC5E8"/>
      <name val="Arial"/>
    </font>
    <font>
      <u/>
      <color rgb="FF0000FF"/>
    </font>
  </fonts>
  <fills count="5">
    <fill>
      <patternFill patternType="none"/>
    </fill>
    <fill>
      <patternFill patternType="lightGray"/>
    </fill>
    <fill>
      <patternFill patternType="solid">
        <fgColor theme="1"/>
        <bgColor theme="1"/>
      </patternFill>
    </fill>
    <fill>
      <patternFill patternType="solid">
        <fgColor rgb="FF000000"/>
        <bgColor rgb="FF000000"/>
      </patternFill>
    </fill>
    <fill>
      <patternFill patternType="solid">
        <fgColor rgb="FFEFEFEF"/>
        <bgColor rgb="FFEFEFEF"/>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right style="thin">
        <color rgb="FF000000"/>
      </right>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0" fillId="2" fontId="1" numFmtId="164" xfId="0" applyAlignment="1" applyFill="1" applyFont="1" applyNumberFormat="1">
      <alignment horizontal="center" readingOrder="0" shrinkToFit="0" vertical="center" wrapText="1"/>
    </xf>
    <xf borderId="0" fillId="2" fontId="1" numFmtId="164" xfId="0" applyAlignment="1" applyFont="1" applyNumberFormat="1">
      <alignment horizontal="center" readingOrder="0" shrinkToFit="0" vertical="bottom" wrapText="1"/>
    </xf>
    <xf borderId="0" fillId="2" fontId="2" numFmtId="164" xfId="0" applyAlignment="1" applyFont="1" applyNumberFormat="1">
      <alignment horizontal="center" readingOrder="0" shrinkToFit="0" vertical="bottom" wrapText="1"/>
    </xf>
    <xf borderId="0" fillId="2" fontId="1" numFmtId="165" xfId="0" applyAlignment="1" applyFont="1" applyNumberFormat="1">
      <alignment horizontal="center" readingOrder="0" shrinkToFit="0" vertical="bottom" wrapText="1"/>
    </xf>
    <xf borderId="0" fillId="2" fontId="1" numFmtId="166" xfId="0" applyAlignment="1" applyFont="1" applyNumberFormat="1">
      <alignment horizontal="center" readingOrder="0" shrinkToFit="0" vertical="bottom" wrapText="1"/>
    </xf>
    <xf borderId="0" fillId="2" fontId="1" numFmtId="165" xfId="0" applyAlignment="1" applyFont="1" applyNumberFormat="1">
      <alignment horizontal="left" readingOrder="0" shrinkToFit="0" vertical="bottom" wrapText="1"/>
    </xf>
    <xf borderId="0" fillId="2" fontId="1" numFmtId="164" xfId="0" applyAlignment="1" applyFont="1" applyNumberFormat="1">
      <alignment horizontal="left" readingOrder="0" shrinkToFit="0" vertical="bottom" wrapText="1"/>
    </xf>
    <xf borderId="0" fillId="2" fontId="1" numFmtId="3" xfId="0" applyAlignment="1" applyFont="1" applyNumberFormat="1">
      <alignment horizontal="left" readingOrder="0" shrinkToFit="0" vertical="bottom" wrapText="1"/>
    </xf>
    <xf borderId="0" fillId="3" fontId="3" numFmtId="0" xfId="0" applyAlignment="1" applyFill="1" applyFont="1">
      <alignment readingOrder="0" vertical="bottom"/>
    </xf>
    <xf borderId="0" fillId="3" fontId="4" numFmtId="167" xfId="0" applyAlignment="1" applyFont="1" applyNumberFormat="1">
      <alignment shrinkToFit="0" vertical="bottom" wrapText="1"/>
    </xf>
    <xf borderId="0" fillId="3" fontId="4" numFmtId="167" xfId="0" applyAlignment="1" applyFont="1" applyNumberFormat="1">
      <alignment vertical="bottom"/>
    </xf>
    <xf borderId="0" fillId="3" fontId="4" numFmtId="164" xfId="0" applyAlignment="1" applyFont="1" applyNumberFormat="1">
      <alignment vertical="bottom"/>
    </xf>
    <xf borderId="0" fillId="3" fontId="5" numFmtId="166" xfId="0" applyAlignment="1" applyFont="1" applyNumberFormat="1">
      <alignment horizontal="center" shrinkToFit="0" vertical="bottom" wrapText="1"/>
    </xf>
    <xf borderId="0" fillId="3" fontId="5" numFmtId="167" xfId="0" applyAlignment="1" applyFont="1" applyNumberFormat="1">
      <alignment horizontal="center" shrinkToFit="0" vertical="bottom" wrapText="1"/>
    </xf>
    <xf borderId="0" fillId="3" fontId="5" numFmtId="168" xfId="0" applyAlignment="1" applyFont="1" applyNumberFormat="1">
      <alignment horizontal="center" shrinkToFit="0" vertical="bottom" wrapText="1"/>
    </xf>
    <xf borderId="0" fillId="3" fontId="4" numFmtId="168" xfId="0" applyAlignment="1" applyFont="1" applyNumberFormat="1">
      <alignment vertical="bottom"/>
    </xf>
    <xf borderId="0" fillId="3" fontId="4" numFmtId="165" xfId="0" applyAlignment="1" applyFont="1" applyNumberFormat="1">
      <alignment vertical="bottom"/>
    </xf>
    <xf borderId="0" fillId="3" fontId="4" numFmtId="166" xfId="0" applyAlignment="1" applyFont="1" applyNumberFormat="1">
      <alignment vertical="bottom"/>
    </xf>
    <xf borderId="0" fillId="3" fontId="4" numFmtId="10" xfId="0" applyAlignment="1" applyFont="1" applyNumberFormat="1">
      <alignment vertical="bottom"/>
    </xf>
    <xf borderId="0" fillId="3" fontId="5" numFmtId="167" xfId="0" applyAlignment="1" applyFont="1" applyNumberFormat="1">
      <alignment horizontal="center" shrinkToFit="0" vertical="bottom" wrapText="1"/>
    </xf>
    <xf borderId="0" fillId="3" fontId="5" numFmtId="165" xfId="0" applyAlignment="1" applyFont="1" applyNumberFormat="1">
      <alignment horizontal="left" shrinkToFit="0" vertical="bottom" wrapText="1"/>
    </xf>
    <xf borderId="0" fillId="3" fontId="5" numFmtId="167" xfId="0" applyAlignment="1" applyFont="1" applyNumberFormat="1">
      <alignment horizontal="left" shrinkToFit="0" vertical="bottom" wrapText="1"/>
    </xf>
    <xf borderId="0" fillId="3" fontId="5" numFmtId="164" xfId="0" applyAlignment="1" applyFont="1" applyNumberFormat="1">
      <alignment horizontal="left" shrinkToFit="0" vertical="bottom" wrapText="1"/>
    </xf>
    <xf borderId="0" fillId="3" fontId="5" numFmtId="3" xfId="0" applyAlignment="1" applyFont="1" applyNumberFormat="1">
      <alignment horizontal="left" shrinkToFit="0" vertical="bottom" wrapText="1"/>
    </xf>
    <xf borderId="1" fillId="4" fontId="6" numFmtId="167" xfId="0" applyAlignment="1" applyBorder="1" applyFill="1" applyFont="1" applyNumberFormat="1">
      <alignment horizontal="left" readingOrder="0" vertical="bottom"/>
    </xf>
    <xf borderId="2" fillId="4" fontId="6" numFmtId="167" xfId="0" applyAlignment="1" applyBorder="1" applyFont="1" applyNumberFormat="1">
      <alignment horizontal="center" vertical="bottom"/>
    </xf>
    <xf borderId="3" fillId="4" fontId="6" numFmtId="167" xfId="0" applyAlignment="1" applyBorder="1" applyFont="1" applyNumberFormat="1">
      <alignment horizontal="center" vertical="bottom"/>
    </xf>
    <xf borderId="1" fillId="4" fontId="6" numFmtId="164" xfId="0" applyAlignment="1" applyBorder="1" applyFont="1" applyNumberFormat="1">
      <alignment horizontal="center" readingOrder="0" vertical="bottom"/>
    </xf>
    <xf borderId="2" fillId="0" fontId="7" numFmtId="0" xfId="0" applyBorder="1" applyFont="1"/>
    <xf borderId="3" fillId="0" fontId="7" numFmtId="0" xfId="0" applyBorder="1" applyFont="1"/>
    <xf borderId="1" fillId="4" fontId="6" numFmtId="167" xfId="0" applyAlignment="1" applyBorder="1" applyFont="1" applyNumberFormat="1">
      <alignment horizontal="center" readingOrder="0" vertical="bottom"/>
    </xf>
    <xf borderId="1" fillId="4" fontId="6" numFmtId="165" xfId="0" applyAlignment="1" applyBorder="1" applyFont="1" applyNumberFormat="1">
      <alignment horizontal="center" readingOrder="0" vertical="bottom"/>
    </xf>
    <xf borderId="0" fillId="3" fontId="8" numFmtId="164" xfId="0" applyAlignment="1" applyFont="1" applyNumberFormat="1">
      <alignment horizontal="left" readingOrder="0" shrinkToFit="0" vertical="bottom" wrapText="1"/>
    </xf>
    <xf borderId="4" fillId="3" fontId="8" numFmtId="0" xfId="0" applyAlignment="1" applyBorder="1" applyFont="1">
      <alignment readingOrder="0" shrinkToFit="0" vertical="bottom" wrapText="1"/>
    </xf>
    <xf borderId="0" fillId="3" fontId="8" numFmtId="0" xfId="0" applyAlignment="1" applyFont="1">
      <alignment readingOrder="0" shrinkToFit="0" wrapText="1"/>
    </xf>
    <xf borderId="4" fillId="3" fontId="8" numFmtId="0" xfId="0" applyAlignment="1" applyBorder="1" applyFont="1">
      <alignment horizontal="left" shrinkToFit="0" vertical="bottom" wrapText="1"/>
    </xf>
    <xf borderId="0" fillId="3" fontId="8" numFmtId="167" xfId="0" applyAlignment="1" applyFont="1" applyNumberFormat="1">
      <alignment shrinkToFit="0" wrapText="1"/>
    </xf>
    <xf borderId="0" fillId="3" fontId="8" numFmtId="164" xfId="0" applyAlignment="1" applyFont="1" applyNumberFormat="1">
      <alignment shrinkToFit="0" wrapText="1"/>
    </xf>
    <xf borderId="4" fillId="3" fontId="8" numFmtId="164" xfId="0" applyAlignment="1" applyBorder="1" applyFont="1" applyNumberFormat="1">
      <alignment shrinkToFit="0" vertical="bottom" wrapText="1"/>
    </xf>
    <xf borderId="4" fillId="3" fontId="8" numFmtId="167" xfId="0" applyAlignment="1" applyBorder="1" applyFont="1" applyNumberFormat="1">
      <alignment readingOrder="0" shrinkToFit="0" vertical="bottom" wrapText="1"/>
    </xf>
    <xf borderId="0" fillId="3" fontId="8" numFmtId="167" xfId="0" applyAlignment="1" applyFont="1" applyNumberFormat="1">
      <alignment readingOrder="0" shrinkToFit="0" wrapText="1"/>
    </xf>
    <xf borderId="0" fillId="3" fontId="8" numFmtId="1" xfId="0" applyAlignment="1" applyFont="1" applyNumberFormat="1">
      <alignment horizontal="left" readingOrder="0" shrinkToFit="0" vertical="bottom" wrapText="1"/>
    </xf>
    <xf borderId="4" fillId="3" fontId="8" numFmtId="165" xfId="0" applyAlignment="1" applyBorder="1" applyFont="1" applyNumberFormat="1">
      <alignment shrinkToFit="0" vertical="bottom" wrapText="1"/>
    </xf>
    <xf borderId="4" fillId="3" fontId="8" numFmtId="166" xfId="0" applyAlignment="1" applyBorder="1" applyFont="1" applyNumberFormat="1">
      <alignment shrinkToFit="0" vertical="bottom" wrapText="1"/>
    </xf>
    <xf borderId="0" fillId="3" fontId="8" numFmtId="1" xfId="0" applyAlignment="1" applyFont="1" applyNumberFormat="1">
      <alignment horizontal="left" shrinkToFit="0" vertical="bottom" wrapText="1"/>
    </xf>
    <xf borderId="4" fillId="3" fontId="8" numFmtId="0" xfId="0" applyAlignment="1" applyBorder="1" applyFont="1">
      <alignment horizontal="left" readingOrder="0" shrinkToFit="0" vertical="bottom" wrapText="1"/>
    </xf>
    <xf borderId="4" fillId="3" fontId="8" numFmtId="165" xfId="0" applyAlignment="1" applyBorder="1" applyFont="1" applyNumberFormat="1">
      <alignment horizontal="left" shrinkToFit="0" vertical="bottom" wrapText="1"/>
    </xf>
    <xf borderId="0" fillId="3" fontId="8" numFmtId="165" xfId="0" applyAlignment="1" applyFont="1" applyNumberFormat="1">
      <alignment horizontal="left" readingOrder="0" shrinkToFit="0" wrapText="1"/>
    </xf>
    <xf borderId="0" fillId="3" fontId="8" numFmtId="3" xfId="0" applyAlignment="1" applyFont="1" applyNumberFormat="1">
      <alignment horizontal="left" shrinkToFit="0" wrapText="1"/>
    </xf>
    <xf borderId="0" fillId="3" fontId="8" numFmtId="164" xfId="0" applyAlignment="1" applyFont="1" applyNumberFormat="1">
      <alignment horizontal="left" readingOrder="0" shrinkToFit="0" wrapText="1"/>
    </xf>
    <xf borderId="5" fillId="3" fontId="8" numFmtId="164" xfId="0" applyAlignment="1" applyBorder="1" applyFont="1" applyNumberFormat="1">
      <alignment horizontal="left" readingOrder="0" shrinkToFit="0" vertical="bottom" wrapText="1"/>
    </xf>
    <xf borderId="5" fillId="3" fontId="8" numFmtId="3" xfId="0" applyAlignment="1" applyBorder="1" applyFont="1" applyNumberFormat="1">
      <alignment shrinkToFit="0" vertical="bottom" wrapText="1"/>
    </xf>
    <xf borderId="0" fillId="3" fontId="8" numFmtId="164" xfId="0" applyAlignment="1" applyFont="1" applyNumberFormat="1">
      <alignment readingOrder="0" shrinkToFit="0" vertical="bottom" wrapText="1"/>
    </xf>
    <xf borderId="0" fillId="0" fontId="4" numFmtId="164" xfId="0" applyAlignment="1" applyFont="1" applyNumberFormat="1">
      <alignment shrinkToFit="0" vertical="bottom" wrapText="0"/>
    </xf>
    <xf borderId="0" fillId="0" fontId="4" numFmtId="164" xfId="0" applyAlignment="1" applyFont="1" applyNumberFormat="1">
      <alignment horizontal="left" readingOrder="0" shrinkToFit="0" vertical="bottom" wrapText="1"/>
    </xf>
    <xf borderId="0" fillId="0" fontId="4" numFmtId="164" xfId="0" applyAlignment="1" applyFont="1" applyNumberFormat="1">
      <alignment horizontal="left" readingOrder="0" shrinkToFit="0" vertical="bottom" wrapText="0"/>
    </xf>
    <xf borderId="0" fillId="0" fontId="4" numFmtId="0" xfId="0" applyAlignment="1" applyFont="1">
      <alignment horizontal="left" readingOrder="0" shrinkToFit="0" wrapText="1"/>
    </xf>
    <xf borderId="0" fillId="0" fontId="9" numFmtId="165" xfId="0" applyAlignment="1" applyFont="1" applyNumberFormat="1">
      <alignment horizontal="left" readingOrder="0" shrinkToFit="0" vertical="bottom" wrapText="1"/>
    </xf>
    <xf borderId="0" fillId="0" fontId="9" numFmtId="167" xfId="0" applyAlignment="1" applyFont="1" applyNumberFormat="1">
      <alignment readingOrder="0" shrinkToFit="0" vertical="bottom" wrapText="1"/>
    </xf>
    <xf borderId="0" fillId="0" fontId="4" numFmtId="164" xfId="0" applyAlignment="1" applyFont="1" applyNumberFormat="1">
      <alignment readingOrder="0" vertical="bottom"/>
    </xf>
    <xf borderId="0" fillId="0" fontId="4" numFmtId="167" xfId="0" applyAlignment="1" applyFont="1" applyNumberFormat="1">
      <alignment readingOrder="0" vertical="bottom"/>
    </xf>
    <xf borderId="0" fillId="0" fontId="4" numFmtId="10" xfId="0" applyAlignment="1" applyFont="1" applyNumberFormat="1">
      <alignment horizontal="left" readingOrder="0" shrinkToFit="0" vertical="bottom" wrapText="0"/>
    </xf>
    <xf borderId="0" fillId="0" fontId="4" numFmtId="167" xfId="0" applyAlignment="1" applyFont="1" applyNumberFormat="1">
      <alignment shrinkToFit="0" vertical="bottom" wrapText="1"/>
    </xf>
    <xf borderId="0" fillId="0" fontId="4" numFmtId="165" xfId="0" applyAlignment="1" applyFont="1" applyNumberFormat="1">
      <alignment vertical="bottom"/>
    </xf>
    <xf borderId="0" fillId="0" fontId="4" numFmtId="165" xfId="0" applyAlignment="1" applyFont="1" applyNumberFormat="1">
      <alignment shrinkToFit="0" vertical="bottom" wrapText="1"/>
    </xf>
    <xf borderId="0" fillId="0" fontId="4" numFmtId="167" xfId="0" applyAlignment="1" applyFont="1" applyNumberFormat="1">
      <alignment readingOrder="0" vertical="bottom"/>
    </xf>
    <xf borderId="0" fillId="0" fontId="9" numFmtId="165" xfId="0" applyAlignment="1" applyFont="1" applyNumberFormat="1">
      <alignment readingOrder="0" vertical="bottom"/>
    </xf>
    <xf borderId="0" fillId="0" fontId="4" numFmtId="166" xfId="0" applyAlignment="1" applyFont="1" applyNumberFormat="1">
      <alignment readingOrder="0" vertical="bottom"/>
    </xf>
    <xf borderId="0" fillId="0" fontId="4" numFmtId="0" xfId="0" applyAlignment="1" applyFont="1">
      <alignment shrinkToFit="0" vertical="bottom" wrapText="1"/>
    </xf>
    <xf borderId="0" fillId="0" fontId="4" numFmtId="169" xfId="0" applyAlignment="1" applyFont="1" applyNumberFormat="1">
      <alignment shrinkToFit="0" vertical="bottom" wrapText="1"/>
    </xf>
    <xf borderId="0" fillId="0" fontId="10" numFmtId="0" xfId="0" applyAlignment="1" applyFont="1">
      <alignment shrinkToFit="0" wrapText="1"/>
    </xf>
    <xf borderId="0" fillId="0" fontId="4" numFmtId="165" xfId="0" applyAlignment="1" applyFont="1" applyNumberFormat="1">
      <alignment horizontal="left" shrinkToFit="0" vertical="bottom" wrapText="1"/>
    </xf>
    <xf borderId="0" fillId="0" fontId="4" numFmtId="165" xfId="0" applyAlignment="1" applyFont="1" applyNumberFormat="1">
      <alignment readingOrder="0" vertical="bottom"/>
    </xf>
    <xf borderId="0" fillId="0" fontId="4" numFmtId="0" xfId="0" applyAlignment="1" applyFont="1">
      <alignment vertical="bottom"/>
    </xf>
    <xf borderId="0" fillId="0" fontId="4" numFmtId="3" xfId="0" applyAlignment="1" applyFont="1" applyNumberFormat="1">
      <alignment readingOrder="0" shrinkToFit="0" vertical="bottom" wrapText="1"/>
    </xf>
    <xf borderId="0" fillId="0" fontId="4" numFmtId="3" xfId="0" applyAlignment="1" applyFont="1" applyNumberFormat="1">
      <alignment readingOrder="0" vertical="bottom"/>
    </xf>
    <xf borderId="0" fillId="0" fontId="4" numFmtId="1" xfId="0" applyAlignment="1" applyFont="1" applyNumberFormat="1">
      <alignment horizontal="left" readingOrder="0" shrinkToFit="0" wrapText="1"/>
    </xf>
    <xf borderId="0" fillId="0" fontId="4" numFmtId="164" xfId="0" applyFont="1" applyNumberFormat="1"/>
    <xf borderId="0" fillId="0" fontId="4" numFmtId="3" xfId="0" applyAlignment="1" applyFont="1" applyNumberFormat="1">
      <alignment vertical="bottom"/>
    </xf>
    <xf borderId="0" fillId="0" fontId="11" numFmtId="3" xfId="0" applyAlignment="1" applyFont="1" applyNumberFormat="1">
      <alignment readingOrder="0" shrinkToFit="0" vertical="bottom" wrapText="1"/>
    </xf>
    <xf borderId="0" fillId="0" fontId="12" numFmtId="164" xfId="0" applyAlignment="1" applyFont="1" applyNumberFormat="1">
      <alignment readingOrder="0" vertical="bottom"/>
    </xf>
    <xf borderId="0" fillId="0" fontId="4" numFmtId="2" xfId="0" applyAlignment="1" applyFont="1" applyNumberFormat="1">
      <alignment shrinkToFit="0" vertical="bottom" wrapText="1"/>
    </xf>
    <xf borderId="6" fillId="0" fontId="13" numFmtId="165" xfId="0" applyAlignment="1" applyBorder="1" applyFont="1" applyNumberFormat="1">
      <alignment readingOrder="0" vertical="bottom"/>
    </xf>
    <xf borderId="7" fillId="0" fontId="14" numFmtId="164" xfId="0" applyAlignment="1" applyBorder="1" applyFont="1" applyNumberFormat="1">
      <alignment readingOrder="0"/>
    </xf>
    <xf borderId="0" fillId="0" fontId="4" numFmtId="1" xfId="0" applyAlignment="1" applyFont="1" applyNumberFormat="1">
      <alignment shrinkToFit="0" vertical="bottom" wrapText="1"/>
    </xf>
    <xf borderId="0" fillId="0" fontId="4" numFmtId="164" xfId="0" applyAlignment="1" applyFont="1" applyNumberFormat="1">
      <alignment vertical="bottom"/>
    </xf>
    <xf borderId="0" fillId="0" fontId="4" numFmtId="167" xfId="0" applyAlignment="1" applyFont="1" applyNumberFormat="1">
      <alignment shrinkToFit="0" vertical="bottom" wrapText="1"/>
    </xf>
    <xf borderId="0" fillId="0" fontId="4" numFmtId="0" xfId="0" applyAlignment="1" applyFont="1">
      <alignment shrinkToFit="0" vertical="bottom" wrapText="0"/>
    </xf>
    <xf borderId="0" fillId="0" fontId="15" numFmtId="0" xfId="0" applyAlignment="1" applyFont="1">
      <alignment horizontal="left" readingOrder="0" shrinkToFit="0" wrapText="1"/>
    </xf>
    <xf borderId="0" fillId="0" fontId="4" numFmtId="0" xfId="0" applyAlignment="1" applyFont="1">
      <alignment readingOrder="0" vertical="bottom"/>
    </xf>
    <xf borderId="0" fillId="0" fontId="4" numFmtId="0" xfId="0" applyAlignment="1" applyFont="1">
      <alignment shrinkToFit="0" wrapText="1"/>
    </xf>
    <xf borderId="0" fillId="2" fontId="1" numFmtId="164" xfId="0" applyAlignment="1" applyFont="1" applyNumberFormat="1">
      <alignment horizontal="right" readingOrder="0" shrinkToFit="0" vertical="center" wrapText="1"/>
    </xf>
    <xf borderId="0" fillId="3" fontId="16" numFmtId="0" xfId="0" applyAlignment="1" applyFont="1">
      <alignment horizontal="center" readingOrder="0" shrinkToFit="0" vertical="bottom" wrapText="1"/>
    </xf>
    <xf borderId="0" fillId="3" fontId="8" numFmtId="166" xfId="0" applyAlignment="1" applyFont="1" applyNumberFormat="1">
      <alignment shrinkToFit="0" wrapText="1"/>
    </xf>
    <xf borderId="0" fillId="0" fontId="4" numFmtId="164" xfId="0" applyAlignment="1" applyFont="1" applyNumberFormat="1">
      <alignment shrinkToFit="0" wrapText="1"/>
    </xf>
    <xf borderId="0" fillId="0" fontId="4" numFmtId="165" xfId="0" applyAlignment="1" applyFont="1" applyNumberFormat="1">
      <alignment shrinkToFit="0" wrapText="1"/>
    </xf>
    <xf borderId="0" fillId="0" fontId="4" numFmtId="167" xfId="0" applyAlignment="1" applyFont="1" applyNumberFormat="1">
      <alignment shrinkToFit="0" wrapText="1"/>
    </xf>
    <xf borderId="0" fillId="0" fontId="4" numFmtId="165" xfId="0" applyFont="1" applyNumberFormat="1"/>
    <xf borderId="0" fillId="0" fontId="4" numFmtId="166" xfId="0" applyFont="1" applyNumberFormat="1"/>
    <xf borderId="0" fillId="0" fontId="4" numFmtId="165" xfId="0" applyAlignment="1" applyFont="1" applyNumberFormat="1">
      <alignment shrinkToFit="0" wrapText="1"/>
    </xf>
    <xf borderId="0" fillId="0" fontId="4" numFmtId="1" xfId="0" applyAlignment="1" applyFont="1" applyNumberFormat="1">
      <alignment shrinkToFit="0" wrapText="1"/>
    </xf>
    <xf borderId="0" fillId="0" fontId="17" numFmtId="167" xfId="0" applyAlignment="1" applyFont="1" applyNumberFormat="1">
      <alignment shrinkToFit="0"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62000" cy="762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62000" cy="762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sec.gov/cgi-bin/browse-edgar?CIK=1836935" TargetMode="External"/><Relationship Id="rId194" Type="http://schemas.openxmlformats.org/officeDocument/2006/relationships/hyperlink" Target="https://www.sec.gov/Archives/edgar/data/1818644/000121390021009943/ea135852ex99-2_cffinance3.htm" TargetMode="External"/><Relationship Id="rId193" Type="http://schemas.openxmlformats.org/officeDocument/2006/relationships/hyperlink" Target="https://www.prnewswire.com/news-releases/aeye-global-leader-in-active-high-performance-lidar-solutions-to-go-public-through-merger-with-cf-finance-acquisition-corp-iii-301229720.html" TargetMode="External"/><Relationship Id="rId192" Type="http://schemas.openxmlformats.org/officeDocument/2006/relationships/hyperlink" Target="https://www.sec.gov/cgi-bin/browse-edgar?CIK=1818644" TargetMode="External"/><Relationship Id="rId191" Type="http://schemas.openxmlformats.org/officeDocument/2006/relationships/hyperlink" Target="https://www.sec.gov/cgi-bin/browse-edgar?CIK=1841425" TargetMode="External"/><Relationship Id="rId187" Type="http://schemas.openxmlformats.org/officeDocument/2006/relationships/hyperlink" Target="https://www.prnewswire.com/news-releases/churchill-capital-corp-ii-announces-agreement-to-acquire-skillsoft-and-global-knowledge-to-create-the-leading-corporate-digital-learning-company-301151059.html" TargetMode="External"/><Relationship Id="rId186" Type="http://schemas.openxmlformats.org/officeDocument/2006/relationships/hyperlink" Target="https://www.sec.gov/cgi-bin/browse-edgar?CIK=1774675" TargetMode="External"/><Relationship Id="rId185" Type="http://schemas.openxmlformats.org/officeDocument/2006/relationships/hyperlink" Target="https://www.sec.gov/cgi-bin/browse-edgar?CIK=1828250" TargetMode="External"/><Relationship Id="rId184" Type="http://schemas.openxmlformats.org/officeDocument/2006/relationships/hyperlink" Target="https://www.sec.gov/cgi-bin/browse-edgar?CIK=1812234" TargetMode="External"/><Relationship Id="rId189" Type="http://schemas.openxmlformats.org/officeDocument/2006/relationships/hyperlink" Target="https://www.sec.gov/cgi-bin/browse-edgar?CIK=1853404" TargetMode="External"/><Relationship Id="rId188" Type="http://schemas.openxmlformats.org/officeDocument/2006/relationships/hyperlink" Target="https://www.sec.gov/Archives/edgar/data/1774675/000110465920114582/tm2033075-1_425.htm" TargetMode="External"/><Relationship Id="rId183" Type="http://schemas.openxmlformats.org/officeDocument/2006/relationships/hyperlink" Target="https://www.sec.gov/Archives/edgar/data/1811210/000110465921026357/tm217491d2_ex99-2.htm" TargetMode="External"/><Relationship Id="rId182" Type="http://schemas.openxmlformats.org/officeDocument/2006/relationships/hyperlink" Target="https://www.prnewswire.com/news-releases/lucid-motors-to-go-public-in-merger-with-churchill-capital-corp-iv-bolstering-lucids-vision-to-redefine-luxury-performance-and-efficiency-in-the-sustainable-electric-vehicle-market-301232846.html" TargetMode="External"/><Relationship Id="rId181" Type="http://schemas.openxmlformats.org/officeDocument/2006/relationships/hyperlink" Target="https://www.sec.gov/cgi-bin/browse-edgar?CIK=1811210" TargetMode="External"/><Relationship Id="rId180" Type="http://schemas.openxmlformats.org/officeDocument/2006/relationships/hyperlink" Target="https://www.sec.gov/cgi-bin/browse-edgar?CIK=1794621" TargetMode="External"/><Relationship Id="rId176" Type="http://schemas.openxmlformats.org/officeDocument/2006/relationships/hyperlink" Target="https://www.sec.gov/cgi-bin/browse-edgar?CIK=1846470" TargetMode="External"/><Relationship Id="rId175" Type="http://schemas.openxmlformats.org/officeDocument/2006/relationships/hyperlink" Target="https://www.sec.gov/cgi-bin/browse-edgar?CIK=1822309" TargetMode="External"/><Relationship Id="rId174" Type="http://schemas.openxmlformats.org/officeDocument/2006/relationships/hyperlink" Target="https://www.sec.gov/Archives/edgar/data/1816431/000110465921025083/tm217111d1_ex99-2.htm" TargetMode="External"/><Relationship Id="rId173" Type="http://schemas.openxmlformats.org/officeDocument/2006/relationships/hyperlink" Target="https://www.globenewswire.com/news-release/2021/02/18/2177804/0/en/Quantum-Si-a-Pioneer-in-Semiconductor-Chip-Based-Proteomics-to-Combine-with-HighCape-Capital-Acquisition-Corp.html" TargetMode="External"/><Relationship Id="rId179" Type="http://schemas.openxmlformats.org/officeDocument/2006/relationships/hyperlink" Target="https://www.sec.gov/cgi-bin/browse-edgar?CIK=1845149" TargetMode="External"/><Relationship Id="rId178" Type="http://schemas.openxmlformats.org/officeDocument/2006/relationships/hyperlink" Target="https://www.sec.gov/cgi-bin/browse-edgar?CIK=1828723" TargetMode="External"/><Relationship Id="rId177" Type="http://schemas.openxmlformats.org/officeDocument/2006/relationships/hyperlink" Target="https://www.sec.gov/cgi-bin/browse-edgar?CIK=1850830" TargetMode="External"/><Relationship Id="rId198" Type="http://schemas.openxmlformats.org/officeDocument/2006/relationships/hyperlink" Target="https://www.sec.gov/cgi-bin/browse-edgar?CIK=1828049" TargetMode="External"/><Relationship Id="rId197" Type="http://schemas.openxmlformats.org/officeDocument/2006/relationships/hyperlink" Target="https://www.sec.gov/cgi-bin/browse-edgar?CIK=1825249" TargetMode="External"/><Relationship Id="rId196" Type="http://schemas.openxmlformats.org/officeDocument/2006/relationships/hyperlink" Target="https://www.sec.gov/cgi-bin/browse-edgar?CIK=1839519" TargetMode="External"/><Relationship Id="rId195" Type="http://schemas.openxmlformats.org/officeDocument/2006/relationships/hyperlink" Target="https://www.sec.gov/cgi-bin/browse-edgar?CIK=1839530" TargetMode="External"/><Relationship Id="rId199" Type="http://schemas.openxmlformats.org/officeDocument/2006/relationships/hyperlink" Target="https://www.sec.gov/cgi-bin/browse-edgar?CIK=1830081" TargetMode="External"/><Relationship Id="rId150" Type="http://schemas.openxmlformats.org/officeDocument/2006/relationships/hyperlink" Target="https://www.sec.gov/cgi-bin/browse-edgar?CIK=1787518" TargetMode="External"/><Relationship Id="rId392" Type="http://schemas.openxmlformats.org/officeDocument/2006/relationships/hyperlink" Target="https://www.sec.gov/cgi-bin/browse-edgar?CIK=1839972" TargetMode="External"/><Relationship Id="rId391" Type="http://schemas.openxmlformats.org/officeDocument/2006/relationships/hyperlink" Target="https://www.sec.gov/Archives/edgar/data/1816090/000110465921011297/tm215090d1_ex99-2.htm" TargetMode="External"/><Relationship Id="rId390" Type="http://schemas.openxmlformats.org/officeDocument/2006/relationships/hyperlink" Target="https://www.businesswire.com/news/home/20210203005520/en/Payoneer-to-Become-Publicly-Traded-Company-Through-Combination-With-FTAC-Olympus-Acquisition-Corporation" TargetMode="External"/><Relationship Id="rId1" Type="http://schemas.openxmlformats.org/officeDocument/2006/relationships/hyperlink" Target="https://spactrack.net/contact" TargetMode="External"/><Relationship Id="rId2" Type="http://schemas.openxmlformats.org/officeDocument/2006/relationships/hyperlink" Target="https://www.sec.gov/cgi-bin/browse-edgar?CIK=1829432" TargetMode="External"/><Relationship Id="rId3" Type="http://schemas.openxmlformats.org/officeDocument/2006/relationships/hyperlink" Target="https://www.sec.gov/cgi-bin/browse-edgar?CIK=1848084" TargetMode="External"/><Relationship Id="rId149" Type="http://schemas.openxmlformats.org/officeDocument/2006/relationships/hyperlink" Target="https://www.sec.gov/cgi-bin/browse-edgar?CIK=1844211" TargetMode="External"/><Relationship Id="rId4" Type="http://schemas.openxmlformats.org/officeDocument/2006/relationships/hyperlink" Target="https://www.sec.gov/cgi-bin/browse-edgar?CIK=1843825" TargetMode="External"/><Relationship Id="rId148" Type="http://schemas.openxmlformats.org/officeDocument/2006/relationships/hyperlink" Target="https://www.sec.gov/cgi-bin/browse-edgar?CIK=1847520" TargetMode="External"/><Relationship Id="rId9" Type="http://schemas.openxmlformats.org/officeDocument/2006/relationships/hyperlink" Target="https://www.sec.gov/cgi-bin/browse-edgar?CIK=1838883" TargetMode="External"/><Relationship Id="rId143" Type="http://schemas.openxmlformats.org/officeDocument/2006/relationships/hyperlink" Target="https://www.businesswire.com/news/home/20210326005197/en/WeWork-to-Become-Publicly-Traded-Via-SPAC-Merger-with-BowX-Acquisition-Corp" TargetMode="External"/><Relationship Id="rId385" Type="http://schemas.openxmlformats.org/officeDocument/2006/relationships/hyperlink" Target="https://www.sec.gov/cgi-bin/browse-edgar?CIK=1839569" TargetMode="External"/><Relationship Id="rId142" Type="http://schemas.openxmlformats.org/officeDocument/2006/relationships/hyperlink" Target="https://www.sec.gov/cgi-bin/browse-edgar?CIK=1813756" TargetMode="External"/><Relationship Id="rId384" Type="http://schemas.openxmlformats.org/officeDocument/2006/relationships/hyperlink" Target="https://www.sec.gov/Archives/edgar/data/1829328/000121390021015541/ea137642ex99-1_fintechacq5.htm" TargetMode="External"/><Relationship Id="rId141" Type="http://schemas.openxmlformats.org/officeDocument/2006/relationships/hyperlink" Target="https://www.sec.gov/cgi-bin/browse-edgar?CIK=1838544" TargetMode="External"/><Relationship Id="rId383" Type="http://schemas.openxmlformats.org/officeDocument/2006/relationships/hyperlink" Target="https://www.globenewswire.com/news-release/2021/03/16/2193475/0/en/eToro-the-world-s-leading-social-investment-network-to-become-publicly-traded-through-business-combination-with-FinTech-Acquisition-Corp-V.html" TargetMode="External"/><Relationship Id="rId140" Type="http://schemas.openxmlformats.org/officeDocument/2006/relationships/hyperlink" Target="https://www.sec.gov/cgi-bin/browse-edgar?CIK=1818089" TargetMode="External"/><Relationship Id="rId382" Type="http://schemas.openxmlformats.org/officeDocument/2006/relationships/hyperlink" Target="https://www.sec.gov/cgi-bin/browse-edgar?CIK=1829328" TargetMode="External"/><Relationship Id="rId5" Type="http://schemas.openxmlformats.org/officeDocument/2006/relationships/hyperlink" Target="https://www.sec.gov/cgi-bin/browse-edgar?CIK=1822365" TargetMode="External"/><Relationship Id="rId147" Type="http://schemas.openxmlformats.org/officeDocument/2006/relationships/hyperlink" Target="https://www.sec.gov/cgi-bin/browse-edgar?CIK=1849349" TargetMode="External"/><Relationship Id="rId389" Type="http://schemas.openxmlformats.org/officeDocument/2006/relationships/hyperlink" Target="https://www.sec.gov/cgi-bin/browse-edgar?CIK=1816090" TargetMode="External"/><Relationship Id="rId6" Type="http://schemas.openxmlformats.org/officeDocument/2006/relationships/hyperlink" Target="https://www.sec.gov/cgi-bin/browse-edgar?CIK=1802457" TargetMode="External"/><Relationship Id="rId146" Type="http://schemas.openxmlformats.org/officeDocument/2006/relationships/hyperlink" Target="https://www.sec.gov/cgi-bin/browse-edgar?CIK=1817640" TargetMode="External"/><Relationship Id="rId388" Type="http://schemas.openxmlformats.org/officeDocument/2006/relationships/hyperlink" Target="https://www.sec.gov/Archives/edgar/data/1777835/000121390020045277/ea132406ex99-3_fintechacq4.htm" TargetMode="External"/><Relationship Id="rId7" Type="http://schemas.openxmlformats.org/officeDocument/2006/relationships/hyperlink" Target="https://www.businesswire.com/news/home/20210217005434/en/Origin-Materials-Market-Leader-in-Disruptive-Materials-Technology-to-Combine-with-Artius-Creating-First-Publicly-Traded-Pure-Play-Carbon-Negative-Materials-Companyy" TargetMode="External"/><Relationship Id="rId145" Type="http://schemas.openxmlformats.org/officeDocument/2006/relationships/hyperlink" Target="https://www.sec.gov/cgi-bin/browse-edgar?CIK=1847351" TargetMode="External"/><Relationship Id="rId387" Type="http://schemas.openxmlformats.org/officeDocument/2006/relationships/hyperlink" Target="https://www.businesswire.com/news/home/20201230005136/en/Perella-Weinberg-Partners-and-FinTech-IV-Announce-Execution-of-Definitive-Business-Combination-Agreement" TargetMode="External"/><Relationship Id="rId8" Type="http://schemas.openxmlformats.org/officeDocument/2006/relationships/hyperlink" Target="https://www.sec.gov/Archives/edgar/data/1802457/000119312521045759/d137043dex992.htm" TargetMode="External"/><Relationship Id="rId144" Type="http://schemas.openxmlformats.org/officeDocument/2006/relationships/hyperlink" Target="https://www.sec.gov/Archives/edgar/data/1813756/000119312521095508/d29340dex992.htm" TargetMode="External"/><Relationship Id="rId386" Type="http://schemas.openxmlformats.org/officeDocument/2006/relationships/hyperlink" Target="https://www.sec.gov/cgi-bin/browse-edgar?CIK=1777835" TargetMode="External"/><Relationship Id="rId381" Type="http://schemas.openxmlformats.org/officeDocument/2006/relationships/hyperlink" Target="https://www.sec.gov/cgi-bin/browse-edgar?CIK=1832696" TargetMode="External"/><Relationship Id="rId380" Type="http://schemas.openxmlformats.org/officeDocument/2006/relationships/hyperlink" Target="https://www.sec.gov/Archives/edgar/data/1815737/000121390021005581/ea134280ex99-2_fastacq.htm" TargetMode="External"/><Relationship Id="rId139" Type="http://schemas.openxmlformats.org/officeDocument/2006/relationships/hyperlink" Target="https://www.sec.gov/cgi-bin/browse-edgar?CIK=1817944" TargetMode="External"/><Relationship Id="rId138" Type="http://schemas.openxmlformats.org/officeDocument/2006/relationships/hyperlink" Target="https://www.sec.gov/cgi-bin/browse-edgar?CIK=1831006" TargetMode="External"/><Relationship Id="rId137" Type="http://schemas.openxmlformats.org/officeDocument/2006/relationships/hyperlink" Target="https://www.sec.gov/cgi-bin/browse-edgar?CIK=1827328" TargetMode="External"/><Relationship Id="rId379" Type="http://schemas.openxmlformats.org/officeDocument/2006/relationships/hyperlink" Target="https://www.prnewswire.com/news-releases/tilman-fertitta-enters-into-deal-to-take-golden-nuggetlandrys-public-301218700.html" TargetMode="External"/><Relationship Id="rId1080" Type="http://schemas.openxmlformats.org/officeDocument/2006/relationships/drawing" Target="../drawings/drawing1.xml"/><Relationship Id="rId132" Type="http://schemas.openxmlformats.org/officeDocument/2006/relationships/hyperlink" Target="https://www.sec.gov/cgi-bin/browse-edgar?CIK=1759186" TargetMode="External"/><Relationship Id="rId374" Type="http://schemas.openxmlformats.org/officeDocument/2006/relationships/hyperlink" Target="https://www.businesswire.com/news/home/20201218005404/en/Katapult-to-Become-a-Publicly-Traded-Company-Through-Merger-With-FinServ-Acquisition-Corp." TargetMode="External"/><Relationship Id="rId131" Type="http://schemas.openxmlformats.org/officeDocument/2006/relationships/hyperlink" Target="https://www.sec.gov/cgi-bin/browse-edgar?CIK=1847961" TargetMode="External"/><Relationship Id="rId373" Type="http://schemas.openxmlformats.org/officeDocument/2006/relationships/hyperlink" Target="https://www.sec.gov/cgi-bin/browse-edgar?CIK=1785424" TargetMode="External"/><Relationship Id="rId130" Type="http://schemas.openxmlformats.org/officeDocument/2006/relationships/hyperlink" Target="https://www.sec.gov/cgi-bin/browse-edgar?CIK=1838666" TargetMode="External"/><Relationship Id="rId372" Type="http://schemas.openxmlformats.org/officeDocument/2006/relationships/hyperlink" Target="https://www.sec.gov/cgi-bin/browse-edgar?CIK=1840225" TargetMode="External"/><Relationship Id="rId371" Type="http://schemas.openxmlformats.org/officeDocument/2006/relationships/hyperlink" Target="https://www.sec.gov/cgi-bin/browse-edgar?CIK=1822711" TargetMode="External"/><Relationship Id="rId136" Type="http://schemas.openxmlformats.org/officeDocument/2006/relationships/hyperlink" Target="https://www.sec.gov/cgi-bin/browse-edgar?CIK=1823200" TargetMode="External"/><Relationship Id="rId378" Type="http://schemas.openxmlformats.org/officeDocument/2006/relationships/hyperlink" Target="https://www.sec.gov/cgi-bin/browse-edgar?CIK=1815737" TargetMode="External"/><Relationship Id="rId135" Type="http://schemas.openxmlformats.org/officeDocument/2006/relationships/hyperlink" Target="https://www.sec.gov/cgi-bin/browse-edgar?CIK=1842384" TargetMode="External"/><Relationship Id="rId377" Type="http://schemas.openxmlformats.org/officeDocument/2006/relationships/hyperlink" Target="https://www.sec.gov/cgi-bin/browse-edgar?CIK=1822862" TargetMode="External"/><Relationship Id="rId134" Type="http://schemas.openxmlformats.org/officeDocument/2006/relationships/hyperlink" Target="https://www.sec.gov/cgi-bin/browse-edgar?CIK=1831270" TargetMode="External"/><Relationship Id="rId376" Type="http://schemas.openxmlformats.org/officeDocument/2006/relationships/hyperlink" Target="https://www.sec.gov/cgi-bin/browse-edgar?CIK=1834336" TargetMode="External"/><Relationship Id="rId133" Type="http://schemas.openxmlformats.org/officeDocument/2006/relationships/hyperlink" Target="https://www.sec.gov/cgi-bin/browse-edgar?CIK=1825413" TargetMode="External"/><Relationship Id="rId375" Type="http://schemas.openxmlformats.org/officeDocument/2006/relationships/hyperlink" Target="https://go.katapult.com/hubfs/Test%20Folder-af/Project%20Keys%20Investor%20Presentation_Dec%202020.pdf" TargetMode="External"/><Relationship Id="rId172" Type="http://schemas.openxmlformats.org/officeDocument/2006/relationships/hyperlink" Target="https://www.sec.gov/cgi-bin/browse-edgar?CIK=1816431" TargetMode="External"/><Relationship Id="rId171" Type="http://schemas.openxmlformats.org/officeDocument/2006/relationships/hyperlink" Target="https://www.sec.gov/Archives/edgar/data/1722438/000121390021013067/ea136901ex99-2_capitol5.htm" TargetMode="External"/><Relationship Id="rId170" Type="http://schemas.openxmlformats.org/officeDocument/2006/relationships/hyperlink" Target="https://www.businesswire.com/news/home/20210302006159/en/Doma-a-Leading-Force-for-Disruptive-Change-in-the-Residential-Real-Estate-Industry-Announces-Plans-to-Become-Publicly-Traded-via-Merger-with-Capitol-Investment-Corp.-V" TargetMode="External"/><Relationship Id="rId165" Type="http://schemas.openxmlformats.org/officeDocument/2006/relationships/hyperlink" Target="https://www.businesswire.com/news/home/20210406006194/en/LumiraDx-a-Next-Generation-Point-of-Care-Diagnostics-Testing-Company-to-List-on-Nasdaq-via-Merger-with-CA-Healthcare-Acquisition-Corp" TargetMode="External"/><Relationship Id="rId164" Type="http://schemas.openxmlformats.org/officeDocument/2006/relationships/hyperlink" Target="https://www.sec.gov/cgi-bin/browse-edgar?CIK=1832352" TargetMode="External"/><Relationship Id="rId163" Type="http://schemas.openxmlformats.org/officeDocument/2006/relationships/hyperlink" Target="https://www.sec.gov/cgi-bin/browse-edgar?CIK=1842566" TargetMode="External"/><Relationship Id="rId162" Type="http://schemas.openxmlformats.org/officeDocument/2006/relationships/hyperlink" Target="https://www.sec.gov/cgi-bin/browse-edgar?CIK=1801417" TargetMode="External"/><Relationship Id="rId169" Type="http://schemas.openxmlformats.org/officeDocument/2006/relationships/hyperlink" Target="https://www.sec.gov/cgi-bin/browse-edgar?CIK=1722438" TargetMode="External"/><Relationship Id="rId168" Type="http://schemas.openxmlformats.org/officeDocument/2006/relationships/hyperlink" Target="https://www.sec.gov/cgi-bin/browse-edgar?CIK=1843080" TargetMode="External"/><Relationship Id="rId167" Type="http://schemas.openxmlformats.org/officeDocument/2006/relationships/hyperlink" Target="https://www.sec.gov/cgi-bin/browse-edgar?CIK=1839527" TargetMode="External"/><Relationship Id="rId166" Type="http://schemas.openxmlformats.org/officeDocument/2006/relationships/hyperlink" Target="https://static1.squarespace.com/static/5fcfb6a6de407d5e35d28f10/t/606d39e702cae0599234a18f/1617770985606/LumiraDx-CAHC.pdf" TargetMode="External"/><Relationship Id="rId161" Type="http://schemas.openxmlformats.org/officeDocument/2006/relationships/hyperlink" Target="https://www.sec.gov/cgi-bin/browse-edgar?CIK=1821146" TargetMode="External"/><Relationship Id="rId160" Type="http://schemas.openxmlformats.org/officeDocument/2006/relationships/hyperlink" Target="https://www.sec.gov/cgi-bin/browse-edgar?CIK=1815086" TargetMode="External"/><Relationship Id="rId159" Type="http://schemas.openxmlformats.org/officeDocument/2006/relationships/hyperlink" Target="https://www.sec.gov/cgi-bin/browse-edgar?CIK=1846599" TargetMode="External"/><Relationship Id="rId154" Type="http://schemas.openxmlformats.org/officeDocument/2006/relationships/hyperlink" Target="https://www.sec.gov/cgi-bin/browse-edgar?CIK=1839360" TargetMode="External"/><Relationship Id="rId396" Type="http://schemas.openxmlformats.org/officeDocument/2006/relationships/hyperlink" Target="https://www.sec.gov/Archives/edgar/data/1807846/000121390021008694/ea135375ex99-2_fusionacq.htm" TargetMode="External"/><Relationship Id="rId153" Type="http://schemas.openxmlformats.org/officeDocument/2006/relationships/hyperlink" Target="https://www.sec.gov/Archives/edgar/data/1719406/000165495420013699/brpa_ex992.htm" TargetMode="External"/><Relationship Id="rId395" Type="http://schemas.openxmlformats.org/officeDocument/2006/relationships/hyperlink" Target="http://www.globenewswire.com/news-release/2021/02/12/2174847/0/en/MoneyLion-America-s-Leading-Digital-Financial-Platform-to-Become-Publicly-Traded-via-Merger-with-Fusion-Acquisition-Corp-NYSE-FUSE.html" TargetMode="External"/><Relationship Id="rId152" Type="http://schemas.openxmlformats.org/officeDocument/2006/relationships/hyperlink" Target="https://www.accesswire.com/620772/Big-Rock-Partners-Acquisition-Corp-Announces-Merger-with-NeuroRx-Inc" TargetMode="External"/><Relationship Id="rId394" Type="http://schemas.openxmlformats.org/officeDocument/2006/relationships/hyperlink" Target="https://www.sec.gov/cgi-bin/browse-edgar?CIK=1807846" TargetMode="External"/><Relationship Id="rId151" Type="http://schemas.openxmlformats.org/officeDocument/2006/relationships/hyperlink" Target="https://www.sec.gov/cgi-bin/browse-edgar?CIK=1719406" TargetMode="External"/><Relationship Id="rId393" Type="http://schemas.openxmlformats.org/officeDocument/2006/relationships/hyperlink" Target="https://www.sec.gov/cgi-bin/browse-edgar?CIK=1844336" TargetMode="External"/><Relationship Id="rId158" Type="http://schemas.openxmlformats.org/officeDocument/2006/relationships/hyperlink" Target="https://www.sec.gov/cgi-bin/browse-edgar?CIK=1831236" TargetMode="External"/><Relationship Id="rId157" Type="http://schemas.openxmlformats.org/officeDocument/2006/relationships/hyperlink" Target="https://www.sec.gov/cgi-bin/browse-edgar?CIK=1815526" TargetMode="External"/><Relationship Id="rId399" Type="http://schemas.openxmlformats.org/officeDocument/2006/relationships/hyperlink" Target="https://www.sec.gov/cgi-bin/browse-edgar?CIK=1824434" TargetMode="External"/><Relationship Id="rId156" Type="http://schemas.openxmlformats.org/officeDocument/2006/relationships/hyperlink" Target="https://www.sec.gov/cgi-bin/browse-edgar?CIK=1815805" TargetMode="External"/><Relationship Id="rId398" Type="http://schemas.openxmlformats.org/officeDocument/2006/relationships/hyperlink" Target="https://www.sec.gov/cgi-bin/browse-edgar?CIK=1828183" TargetMode="External"/><Relationship Id="rId155" Type="http://schemas.openxmlformats.org/officeDocument/2006/relationships/hyperlink" Target="https://www.sec.gov/cgi-bin/browse-edgar?CIK=1846804" TargetMode="External"/><Relationship Id="rId397" Type="http://schemas.openxmlformats.org/officeDocument/2006/relationships/hyperlink" Target="https://www.sec.gov/cgi-bin/browse-edgar?CIK=1823465" TargetMode="External"/><Relationship Id="rId808" Type="http://schemas.openxmlformats.org/officeDocument/2006/relationships/hyperlink" Target="https://www.businesswire.com/news/home/20210406005563/en/Sarcos-Robotics-to-Merge-with-Rotor-Acquisition-Corp." TargetMode="External"/><Relationship Id="rId807" Type="http://schemas.openxmlformats.org/officeDocument/2006/relationships/hyperlink" Target="https://www.sec.gov/cgi-bin/browse-edgar?CIK=1826681" TargetMode="External"/><Relationship Id="rId806" Type="http://schemas.openxmlformats.org/officeDocument/2006/relationships/hyperlink" Target="https://www.sec.gov/cgi-bin/browse-edgar?CIK=1841610" TargetMode="External"/><Relationship Id="rId805" Type="http://schemas.openxmlformats.org/officeDocument/2006/relationships/hyperlink" Target="https://www.sec.gov/cgi-bin/browse-edgar?CIK=1845437" TargetMode="External"/><Relationship Id="rId809" Type="http://schemas.openxmlformats.org/officeDocument/2006/relationships/hyperlink" Target="https://www.sec.gov/Archives/edgar/data/1826681/000121390021020284/ea139001ex99-2_rotoracq.htm" TargetMode="External"/><Relationship Id="rId800" Type="http://schemas.openxmlformats.org/officeDocument/2006/relationships/hyperlink" Target="https://www.sec.gov/cgi-bin/browse-edgar?CIK=1847459" TargetMode="External"/><Relationship Id="rId804" Type="http://schemas.openxmlformats.org/officeDocument/2006/relationships/hyperlink" Target="https://www.sec.gov/cgi-bin/browse-edgar?CIK=1839412" TargetMode="External"/><Relationship Id="rId803" Type="http://schemas.openxmlformats.org/officeDocument/2006/relationships/hyperlink" Target="https://www.sec.gov/cgi-bin/browse-edgar?CIK=1824403" TargetMode="External"/><Relationship Id="rId802" Type="http://schemas.openxmlformats.org/officeDocument/2006/relationships/hyperlink" Target="https://www.sec.gov/cgi-bin/browse-edgar?CIK=1847461" TargetMode="External"/><Relationship Id="rId801" Type="http://schemas.openxmlformats.org/officeDocument/2006/relationships/hyperlink" Target="https://www.sec.gov/cgi-bin/browse-edgar?CIK=1847458" TargetMode="External"/><Relationship Id="rId40" Type="http://schemas.openxmlformats.org/officeDocument/2006/relationships/hyperlink" Target="https://www.sec.gov/cgi-bin/browse-edgar?CIK=1830029" TargetMode="External"/><Relationship Id="rId42" Type="http://schemas.openxmlformats.org/officeDocument/2006/relationships/hyperlink" Target="https://www.sec.gov/cgi-bin/browse-edgar?CIK=1824884" TargetMode="External"/><Relationship Id="rId41" Type="http://schemas.openxmlformats.org/officeDocument/2006/relationships/hyperlink" Target="https://www.sec.gov/cgi-bin/browse-edgar?CIK=1840776" TargetMode="External"/><Relationship Id="rId44" Type="http://schemas.openxmlformats.org/officeDocument/2006/relationships/hyperlink" Target="https://www.sec.gov/cgi-bin/browse-edgar?CIK=1827392" TargetMode="External"/><Relationship Id="rId43" Type="http://schemas.openxmlformats.org/officeDocument/2006/relationships/hyperlink" Target="https://www.sec.gov/cgi-bin/browse-edgar?CIK=1823584" TargetMode="External"/><Relationship Id="rId46" Type="http://schemas.openxmlformats.org/officeDocument/2006/relationships/hyperlink" Target="https://www.sec.gov/cgi-bin/browse-edgar?CIK=1841661" TargetMode="External"/><Relationship Id="rId45" Type="http://schemas.openxmlformats.org/officeDocument/2006/relationships/hyperlink" Target="https://www.sec.gov/cgi-bin/browse-edgar?CIK=1849489" TargetMode="External"/><Relationship Id="rId509" Type="http://schemas.openxmlformats.org/officeDocument/2006/relationships/hyperlink" Target="https://www.sec.gov/cgi-bin/browse-edgar?CIK=1821788" TargetMode="External"/><Relationship Id="rId508" Type="http://schemas.openxmlformats.org/officeDocument/2006/relationships/hyperlink" Target="https://www.sec.gov/cgi-bin/browse-edgar?CIK=1833767" TargetMode="External"/><Relationship Id="rId503" Type="http://schemas.openxmlformats.org/officeDocument/2006/relationships/hyperlink" Target="https://www.sec.gov/cgi-bin/browse-edgar?CIK=1836894" TargetMode="External"/><Relationship Id="rId745" Type="http://schemas.openxmlformats.org/officeDocument/2006/relationships/hyperlink" Target="https://www.sec.gov/cgi-bin/browse-edgar?CIK=1840317" TargetMode="External"/><Relationship Id="rId987" Type="http://schemas.openxmlformats.org/officeDocument/2006/relationships/hyperlink" Target="https://www.sec.gov/cgi-bin/browse-edgar?CIK=1835881" TargetMode="External"/><Relationship Id="rId502" Type="http://schemas.openxmlformats.org/officeDocument/2006/relationships/hyperlink" Target="https://www.sec.gov/cgi-bin/browse-edgar?CIK=1828817" TargetMode="External"/><Relationship Id="rId744" Type="http://schemas.openxmlformats.org/officeDocument/2006/relationships/hyperlink" Target="https://www.sec.gov/cgi-bin/browse-edgar?CIK=1822835" TargetMode="External"/><Relationship Id="rId986" Type="http://schemas.openxmlformats.org/officeDocument/2006/relationships/hyperlink" Target="https://www.sec.gov/Archives/edgar/data/1814215/000110465921030358/tm218267d1_ex99-2.htm" TargetMode="External"/><Relationship Id="rId501" Type="http://schemas.openxmlformats.org/officeDocument/2006/relationships/hyperlink" Target="https://www.sec.gov/cgi-bin/browse-edgar?CIK=1850038" TargetMode="External"/><Relationship Id="rId743" Type="http://schemas.openxmlformats.org/officeDocument/2006/relationships/hyperlink" Target="https://www.sec.gov/cgi-bin/browse-edgar?CIK=1835800" TargetMode="External"/><Relationship Id="rId985" Type="http://schemas.openxmlformats.org/officeDocument/2006/relationships/hyperlink" Target="https://www.businesswire.com/news/home/20210301006049/en/QOMPLX-a-Leader-in-Cloud-Native-Risk-Analytics-Elects-to-Become-a-Public-Company-Through-a-Merger-with-Tailwind-Acquisition-Corp" TargetMode="External"/><Relationship Id="rId500" Type="http://schemas.openxmlformats.org/officeDocument/2006/relationships/hyperlink" Target="https://www.sec.gov/cgi-bin/browse-edgar?CIK=1814114" TargetMode="External"/><Relationship Id="rId742" Type="http://schemas.openxmlformats.org/officeDocument/2006/relationships/hyperlink" Target="https://www.sec.gov/cgi-bin/browse-edgar?CIK=1819175" TargetMode="External"/><Relationship Id="rId984" Type="http://schemas.openxmlformats.org/officeDocument/2006/relationships/hyperlink" Target="https://www.sec.gov/cgi-bin/browse-edgar?CIK=1814215" TargetMode="External"/><Relationship Id="rId507" Type="http://schemas.openxmlformats.org/officeDocument/2006/relationships/hyperlink" Target="https://www.sec.gov/cgi-bin/browse-edgar?CIK=1817071" TargetMode="External"/><Relationship Id="rId749" Type="http://schemas.openxmlformats.org/officeDocument/2006/relationships/hyperlink" Target="https://www.sec.gov/cgi-bin/browse-edgar?CIK=1842430" TargetMode="External"/><Relationship Id="rId506" Type="http://schemas.openxmlformats.org/officeDocument/2006/relationships/hyperlink" Target="https://www.sec.gov/cgi-bin/browse-edgar?CIK=1819253" TargetMode="External"/><Relationship Id="rId748" Type="http://schemas.openxmlformats.org/officeDocument/2006/relationships/hyperlink" Target="https://www.sec.gov/cgi-bin/browse-edgar?CIK=1830392" TargetMode="External"/><Relationship Id="rId505" Type="http://schemas.openxmlformats.org/officeDocument/2006/relationships/hyperlink" Target="https://www.sec.gov/cgi-bin/browse-edgar?CIK=1845013" TargetMode="External"/><Relationship Id="rId747" Type="http://schemas.openxmlformats.org/officeDocument/2006/relationships/hyperlink" Target="https://www.sec.gov/cgi-bin/browse-edgar?CIK=1807765" TargetMode="External"/><Relationship Id="rId989" Type="http://schemas.openxmlformats.org/officeDocument/2006/relationships/hyperlink" Target="https://www.sec.gov/cgi-bin/browse-edgar?CIK=1843988" TargetMode="External"/><Relationship Id="rId504" Type="http://schemas.openxmlformats.org/officeDocument/2006/relationships/hyperlink" Target="https://www.sec.gov/cgi-bin/browse-edgar?CIK=1846091" TargetMode="External"/><Relationship Id="rId746" Type="http://schemas.openxmlformats.org/officeDocument/2006/relationships/hyperlink" Target="https://www.sec.gov/cgi-bin/browse-edgar?CIK=1837607" TargetMode="External"/><Relationship Id="rId988" Type="http://schemas.openxmlformats.org/officeDocument/2006/relationships/hyperlink" Target="https://www.sec.gov/cgi-bin/browse-edgar?CIK=1835512" TargetMode="External"/><Relationship Id="rId48" Type="http://schemas.openxmlformats.org/officeDocument/2006/relationships/hyperlink" Target="https://www.sec.gov/cgi-bin/browse-edgar?CIK=1769624" TargetMode="External"/><Relationship Id="rId47" Type="http://schemas.openxmlformats.org/officeDocument/2006/relationships/hyperlink" Target="https://www.sec.gov/cgi-bin/browse-edgar?CIK=1833909" TargetMode="External"/><Relationship Id="rId49" Type="http://schemas.openxmlformats.org/officeDocument/2006/relationships/hyperlink" Target="https://www.sec.gov/cgi-bin/browse-edgar?CIK=1823340" TargetMode="External"/><Relationship Id="rId741" Type="http://schemas.openxmlformats.org/officeDocument/2006/relationships/hyperlink" Target="https://www.sec.gov/cgi-bin/browse-edgar?CIK=1825724" TargetMode="External"/><Relationship Id="rId983" Type="http://schemas.openxmlformats.org/officeDocument/2006/relationships/hyperlink" Target="https://www.sec.gov/cgi-bin/browse-edgar?CIK=1819498" TargetMode="External"/><Relationship Id="rId740" Type="http://schemas.openxmlformats.org/officeDocument/2006/relationships/hyperlink" Target="https://www.sec.gov/cgi-bin/browse-edgar?CIK=1833213" TargetMode="External"/><Relationship Id="rId982" Type="http://schemas.openxmlformats.org/officeDocument/2006/relationships/hyperlink" Target="https://www.sec.gov/cgi-bin/browse-edgar?CIK=1845865" TargetMode="External"/><Relationship Id="rId981" Type="http://schemas.openxmlformats.org/officeDocument/2006/relationships/hyperlink" Target="https://www.sec.gov/Archives/edgar/data/0001819313/000121390021020730/ea139090ex99-2_twctech2.htm" TargetMode="External"/><Relationship Id="rId980" Type="http://schemas.openxmlformats.org/officeDocument/2006/relationships/hyperlink" Target="https://www.prnewswire.com/news-releases/cellebrite-the-leading-digital-intelligence-solutions-provider-to-list-on-nasdaq-through-merger-with-twc-tech-holdings-ii-corp-301264966.html" TargetMode="External"/><Relationship Id="rId31" Type="http://schemas.openxmlformats.org/officeDocument/2006/relationships/hyperlink" Target="https://www.sec.gov/Archives/edgar/data/1805651/000119312521064519/d143828dex992.htm" TargetMode="External"/><Relationship Id="rId30" Type="http://schemas.openxmlformats.org/officeDocument/2006/relationships/hyperlink" Target="https://www.businesswire.com/news/home/20210302005463/en/Beacon-Street-Group-a-Leading-Subscription-Platform-for-Financial-Research-Software-and-Education-to-Become-Publicly-Traded-via-Combination-with-Ascendant-Digital-Acquisition-Corp./?feedref=JjAwJuNHiystnCoBq_hl-aH2gtkQQ1l6W3ZaPesXFm57cpar2z2OJ_5SQGMGwVHJgBtFNItNzWaC-E-WdoEDnkz6i6lCdteeEqxiTxGYcX8eF_GK2rQqAnK3e1SETIZU" TargetMode="External"/><Relationship Id="rId33" Type="http://schemas.openxmlformats.org/officeDocument/2006/relationships/hyperlink" Target="https://www.sec.gov/cgi-bin/browse-edgar?CIK=1847891" TargetMode="External"/><Relationship Id="rId32" Type="http://schemas.openxmlformats.org/officeDocument/2006/relationships/hyperlink" Target="https://www.sec.gov/cgi-bin/browse-edgar?CIK=1837393" TargetMode="External"/><Relationship Id="rId35" Type="http://schemas.openxmlformats.org/officeDocument/2006/relationships/hyperlink" Target="https://www.prnewswire.com/news-releases/proterra-commercial-electric-vehicle-technology-leader-to-become-publicly-listed-through-transaction-with-arclight-clean-transition-corp-301206295.html" TargetMode="External"/><Relationship Id="rId34" Type="http://schemas.openxmlformats.org/officeDocument/2006/relationships/hyperlink" Target="https://www.sec.gov/cgi-bin/browse-edgar?CIK=1820630" TargetMode="External"/><Relationship Id="rId739" Type="http://schemas.openxmlformats.org/officeDocument/2006/relationships/hyperlink" Target="https://www.sec.gov/cgi-bin/browse-edgar?CIK=1839132" TargetMode="External"/><Relationship Id="rId734" Type="http://schemas.openxmlformats.org/officeDocument/2006/relationships/hyperlink" Target="https://www.sec.gov/cgi-bin/browse-edgar?CIK=1821317" TargetMode="External"/><Relationship Id="rId976" Type="http://schemas.openxmlformats.org/officeDocument/2006/relationships/hyperlink" Target="https://www.sec.gov/cgi-bin/browse-edgar?CIK=1845618" TargetMode="External"/><Relationship Id="rId733" Type="http://schemas.openxmlformats.org/officeDocument/2006/relationships/hyperlink" Target="https://www.sec.gov/cgi-bin/browse-edgar?CIK=1824993" TargetMode="External"/><Relationship Id="rId975" Type="http://schemas.openxmlformats.org/officeDocument/2006/relationships/hyperlink" Target="https://www.sec.gov/cgi-bin/browse-edgar?CIK=1820566" TargetMode="External"/><Relationship Id="rId732" Type="http://schemas.openxmlformats.org/officeDocument/2006/relationships/hyperlink" Target="https://www.sec.gov/cgi-bin/browse-edgar?CIK=1844149" TargetMode="External"/><Relationship Id="rId974" Type="http://schemas.openxmlformats.org/officeDocument/2006/relationships/hyperlink" Target="https://www.sec.gov/cgi-bin/browse-edgar?CIK=1847075" TargetMode="External"/><Relationship Id="rId731" Type="http://schemas.openxmlformats.org/officeDocument/2006/relationships/hyperlink" Target="https://www.sec.gov/cgi-bin/browse-edgar?CIK=1848165" TargetMode="External"/><Relationship Id="rId973" Type="http://schemas.openxmlformats.org/officeDocument/2006/relationships/hyperlink" Target="https://www.sec.gov/cgi-bin/browse-edgar?CIK=1846468" TargetMode="External"/><Relationship Id="rId738" Type="http://schemas.openxmlformats.org/officeDocument/2006/relationships/hyperlink" Target="https://www.sec.gov/cgi-bin/browse-edgar?CIK=1847241" TargetMode="External"/><Relationship Id="rId737" Type="http://schemas.openxmlformats.org/officeDocument/2006/relationships/hyperlink" Target="https://www.sec.gov/cgi-bin/browse-edgar?CIK=1841845" TargetMode="External"/><Relationship Id="rId979" Type="http://schemas.openxmlformats.org/officeDocument/2006/relationships/hyperlink" Target="https://www.sec.gov/cgi-bin/browse-edgar?CIK=1819313" TargetMode="External"/><Relationship Id="rId736" Type="http://schemas.openxmlformats.org/officeDocument/2006/relationships/hyperlink" Target="https://www.sec.gov/Archives/edgar/data/1821317/000119312521043314/d132687dex992.htm" TargetMode="External"/><Relationship Id="rId978" Type="http://schemas.openxmlformats.org/officeDocument/2006/relationships/hyperlink" Target="https://www.sec.gov/cgi-bin/browse-edgar?CIK=1849512" TargetMode="External"/><Relationship Id="rId735" Type="http://schemas.openxmlformats.org/officeDocument/2006/relationships/hyperlink" Target="https://www.businesswire.com/news/home/20210216005429/en/Li-Cycle-North-America%E2%80%99s-Largest-Lithium-Ion-Battery-Resource-Recycling-Company-to-List-on-NYSE-through-Transaction-with-Peridot-Acquisition-Corp." TargetMode="External"/><Relationship Id="rId977" Type="http://schemas.openxmlformats.org/officeDocument/2006/relationships/hyperlink" Target="https://www.sec.gov/cgi-bin/browse-edgar?CIK=1845855" TargetMode="External"/><Relationship Id="rId37" Type="http://schemas.openxmlformats.org/officeDocument/2006/relationships/hyperlink" Target="https://www.sec.gov/cgi-bin/browse-edgar?CIK=1842279" TargetMode="External"/><Relationship Id="rId36" Type="http://schemas.openxmlformats.org/officeDocument/2006/relationships/hyperlink" Target="https://arclightclean.com/wp-content/uploads/2021/01/ACTC-Proterra-Investor-Presentation.pdf" TargetMode="External"/><Relationship Id="rId39" Type="http://schemas.openxmlformats.org/officeDocument/2006/relationships/hyperlink" Target="http://k12.com/" TargetMode="External"/><Relationship Id="rId38" Type="http://schemas.openxmlformats.org/officeDocument/2006/relationships/hyperlink" Target="https://www.sec.gov/cgi-bin/browse-edgar?CIK=1822912" TargetMode="External"/><Relationship Id="rId730" Type="http://schemas.openxmlformats.org/officeDocument/2006/relationships/hyperlink" Target="https://www.sec.gov/cgi-bin/browse-edgar?CIK=1830531" TargetMode="External"/><Relationship Id="rId972" Type="http://schemas.openxmlformats.org/officeDocument/2006/relationships/hyperlink" Target="https://www.sec.gov/cgi-bin/browse-edgar?CIK=1843556" TargetMode="External"/><Relationship Id="rId971" Type="http://schemas.openxmlformats.org/officeDocument/2006/relationships/hyperlink" Target="https://www.sec.gov/cgi-bin/browse-edgar?CIK=1838219" TargetMode="External"/><Relationship Id="rId970" Type="http://schemas.openxmlformats.org/officeDocument/2006/relationships/hyperlink" Target="https://www.sec.gov/cgi-bin/browse-edgar?CIK=1832737" TargetMode="External"/><Relationship Id="rId20" Type="http://schemas.openxmlformats.org/officeDocument/2006/relationships/hyperlink" Target="https://www.sec.gov/cgi-bin/browse-edgar?CIK=1813658" TargetMode="External"/><Relationship Id="rId22" Type="http://schemas.openxmlformats.org/officeDocument/2006/relationships/hyperlink" Target="https://www.achronix.com/sites/default/files/docs/Achronix_Ace_Merger_Presentation_VF.pdf" TargetMode="External"/><Relationship Id="rId21" Type="http://schemas.openxmlformats.org/officeDocument/2006/relationships/hyperlink" Target="https://www.businesswire.com/news/home/20210107005892/en/Achronix-to-List-on-Nasdaq-Through-Merger-With-ACE-Convergence" TargetMode="External"/><Relationship Id="rId24" Type="http://schemas.openxmlformats.org/officeDocument/2006/relationships/hyperlink" Target="https://www.globenewswire.com/news-release/2021/02/10/2173059/0/en/Archer-A-Leading-Urban-Air-Mobility-Company-To-List-On-NYSE-Through-Merger-With-Atlas-Crest-Investment-Corp.html" TargetMode="External"/><Relationship Id="rId23" Type="http://schemas.openxmlformats.org/officeDocument/2006/relationships/hyperlink" Target="https://www.sec.gov/cgi-bin/browse-edgar?CIK=1824502" TargetMode="External"/><Relationship Id="rId525" Type="http://schemas.openxmlformats.org/officeDocument/2006/relationships/hyperlink" Target="https://www.sec.gov/cgi-bin/browse-edgar?CIK=1844452" TargetMode="External"/><Relationship Id="rId767" Type="http://schemas.openxmlformats.org/officeDocument/2006/relationships/hyperlink" Target="https://www.sec.gov/cgi-bin/browse-edgar?CIK=1821171" TargetMode="External"/><Relationship Id="rId524" Type="http://schemas.openxmlformats.org/officeDocument/2006/relationships/hyperlink" Target="https://www.sec.gov/cgi-bin/browse-edgar?CIK=1826671" TargetMode="External"/><Relationship Id="rId766" Type="http://schemas.openxmlformats.org/officeDocument/2006/relationships/hyperlink" Target="https://www.sec.gov/cgi-bin/browse-edgar?CIK=1818787" TargetMode="External"/><Relationship Id="rId523" Type="http://schemas.openxmlformats.org/officeDocument/2006/relationships/hyperlink" Target="https://www.sec.gov/cgi-bin/browse-edgar?CIK=1820191" TargetMode="External"/><Relationship Id="rId765" Type="http://schemas.openxmlformats.org/officeDocument/2006/relationships/hyperlink" Target="https://www.sec.gov/cgi-bin/browse-edgar?CIK=1836100" TargetMode="External"/><Relationship Id="rId522" Type="http://schemas.openxmlformats.org/officeDocument/2006/relationships/hyperlink" Target="https://www.sec.gov/cgi-bin/browse-edgar?CIK=1846235" TargetMode="External"/><Relationship Id="rId764" Type="http://schemas.openxmlformats.org/officeDocument/2006/relationships/hyperlink" Target="https://www.sec.gov/cgi-bin/browse-edgar?CIK=1838238" TargetMode="External"/><Relationship Id="rId529" Type="http://schemas.openxmlformats.org/officeDocument/2006/relationships/hyperlink" Target="https://www.businesswire.com/news/home/20210107005746/en/SoFi-A-Leading-Next-Generation-Financial-Services-Platform-to-Become-Publicly-traded-via-Merger-with-Social-Capital-Hedosophia" TargetMode="External"/><Relationship Id="rId528" Type="http://schemas.openxmlformats.org/officeDocument/2006/relationships/hyperlink" Target="https://www.sec.gov/cgi-bin/browse-edgar?CIK=1818874" TargetMode="External"/><Relationship Id="rId527" Type="http://schemas.openxmlformats.org/officeDocument/2006/relationships/hyperlink" Target="http://change.org/" TargetMode="External"/><Relationship Id="rId769" Type="http://schemas.openxmlformats.org/officeDocument/2006/relationships/hyperlink" Target="https://www.sec.gov/Archives/edgar/data/1821171/000110465921043701/tm2111158d3_425.htm" TargetMode="External"/><Relationship Id="rId526" Type="http://schemas.openxmlformats.org/officeDocument/2006/relationships/hyperlink" Target="https://www.sec.gov/cgi-bin/browse-edgar?CIK=1818876" TargetMode="External"/><Relationship Id="rId768" Type="http://schemas.openxmlformats.org/officeDocument/2006/relationships/hyperlink" Target="https://www.prnewswire.com/news-releases/lilium-announces-intention-to-list-on-nasdaq-through-a-merger-with-qell-acquisition-corp-and-reveals-development-of-its-7-seater-electric-vertical-take-off-and-landing-jet-301258288.html" TargetMode="External"/><Relationship Id="rId26" Type="http://schemas.openxmlformats.org/officeDocument/2006/relationships/hyperlink" Target="https://www.sec.gov/cgi-bin/browse-edgar?CIK=1838614" TargetMode="External"/><Relationship Id="rId25" Type="http://schemas.openxmlformats.org/officeDocument/2006/relationships/hyperlink" Target="https://www.sec.gov/Archives/edgar/data/1824502/000121390021007940/ea134984ex99-2_atlascrest.htm" TargetMode="External"/><Relationship Id="rId28" Type="http://schemas.openxmlformats.org/officeDocument/2006/relationships/hyperlink" Target="https://www.sec.gov/cgi-bin/browse-edgar?CIK=1790121" TargetMode="External"/><Relationship Id="rId27" Type="http://schemas.openxmlformats.org/officeDocument/2006/relationships/hyperlink" Target="https://www.sec.gov/cgi-bin/browse-edgar?CIK=1847500" TargetMode="External"/><Relationship Id="rId521" Type="http://schemas.openxmlformats.org/officeDocument/2006/relationships/hyperlink" Target="https://www.sec.gov/cgi-bin/browse-edgar?CIK=1846550" TargetMode="External"/><Relationship Id="rId763" Type="http://schemas.openxmlformats.org/officeDocument/2006/relationships/hyperlink" Target="https://www.sec.gov/cgi-bin/browse-edgar?CIK=1797099" TargetMode="External"/><Relationship Id="rId29" Type="http://schemas.openxmlformats.org/officeDocument/2006/relationships/hyperlink" Target="https://www.sec.gov/cgi-bin/browse-edgar?CIK=1805651" TargetMode="External"/><Relationship Id="rId520" Type="http://schemas.openxmlformats.org/officeDocument/2006/relationships/hyperlink" Target="https://www.sec.gov/cgi-bin/browse-edgar?CIK=1829889" TargetMode="External"/><Relationship Id="rId762" Type="http://schemas.openxmlformats.org/officeDocument/2006/relationships/hyperlink" Target="https://www.sec.gov/cgi-bin/browse-edgar?CIK=1821075" TargetMode="External"/><Relationship Id="rId761" Type="http://schemas.openxmlformats.org/officeDocument/2006/relationships/hyperlink" Target="https://www.sec.gov/cgi-bin/browse-edgar?CIK=1811882" TargetMode="External"/><Relationship Id="rId760" Type="http://schemas.openxmlformats.org/officeDocument/2006/relationships/hyperlink" Target="https://images.unsplash.com/photo-1562037283-072818fb6d8f?ixlib=rb-1.2.1&amp;ixid=eyJhcHBfaWQiOjEyMDd9&amp;auto=format&amp;fit=crop&amp;w=1087&amp;q=80" TargetMode="External"/><Relationship Id="rId11" Type="http://schemas.openxmlformats.org/officeDocument/2006/relationships/hyperlink" Target="https://www.sec.gov/cgi-bin/browse-edgar?CIK=1833764" TargetMode="External"/><Relationship Id="rId10" Type="http://schemas.openxmlformats.org/officeDocument/2006/relationships/hyperlink" Target="https://www.sec.gov/cgi-bin/browse-edgar?CIK=1849574" TargetMode="External"/><Relationship Id="rId13" Type="http://schemas.openxmlformats.org/officeDocument/2006/relationships/hyperlink" Target="https://www.businesswire.com/news/home/20210201005923/en/PLAYSTUDIOS-to-Become-the-First-Publicly-Listed-Mobile-Games-Company-Offering-Players-Real-World-Rewards" TargetMode="External"/><Relationship Id="rId12" Type="http://schemas.openxmlformats.org/officeDocument/2006/relationships/hyperlink" Target="https://www.sec.gov/cgi-bin/browse-edgar?CIK=1823878" TargetMode="External"/><Relationship Id="rId519" Type="http://schemas.openxmlformats.org/officeDocument/2006/relationships/hyperlink" Target="https://www.sec.gov/cgi-bin/browse-edgar?CIK=1825042" TargetMode="External"/><Relationship Id="rId514" Type="http://schemas.openxmlformats.org/officeDocument/2006/relationships/hyperlink" Target="https://www.sec.gov/cgi-bin/browse-edgar?CIK=1844579" TargetMode="External"/><Relationship Id="rId756" Type="http://schemas.openxmlformats.org/officeDocument/2006/relationships/hyperlink" Target="https://www.businesswire.com/news/home/20210128005488/en/Faraday-Future-to-List-on-NASDAQ-Through-Merger-With-Property-Solutions-Acquisition-Corp.-With-Estimated-1-Billion-in-Proceeds/?feedref=JjAwJuNHiystnCoBq_hl-YP0UCfaTS5iGFCz-Ed_Uxqqcp-o_pnudlUwsb5apQ1S4gUE65BTfjH3-pSuqdv0gW3cb3F4oTIgUqCPafFkgu7j7dd_xWveGuB-FIaWwfcR" TargetMode="External"/><Relationship Id="rId998" Type="http://schemas.openxmlformats.org/officeDocument/2006/relationships/hyperlink" Target="https://www.sec.gov/cgi-bin/browse-edgar?CIK=1842386" TargetMode="External"/><Relationship Id="rId513" Type="http://schemas.openxmlformats.org/officeDocument/2006/relationships/hyperlink" Target="https://www.sec.gov/cgi-bin/browse-edgar?CIK=1835378" TargetMode="External"/><Relationship Id="rId755" Type="http://schemas.openxmlformats.org/officeDocument/2006/relationships/hyperlink" Target="https://www.sec.gov/cgi-bin/browse-edgar?CIK=1805521" TargetMode="External"/><Relationship Id="rId997" Type="http://schemas.openxmlformats.org/officeDocument/2006/relationships/hyperlink" Target="https://www.sec.gov/Archives/edgar/data/1819994/000121390021012372/ea136708ex99-3_vector.htm" TargetMode="External"/><Relationship Id="rId512" Type="http://schemas.openxmlformats.org/officeDocument/2006/relationships/hyperlink" Target="https://www.sec.gov/Archives/edgar/data/1821018/000121390021003869/ea133754ex99-2_ionacquis1.htm" TargetMode="External"/><Relationship Id="rId754" Type="http://schemas.openxmlformats.org/officeDocument/2006/relationships/hyperlink" Target="https://www.sec.gov/cgi-bin/browse-edgar?CIK=1825473" TargetMode="External"/><Relationship Id="rId996" Type="http://schemas.openxmlformats.org/officeDocument/2006/relationships/hyperlink" Target="https://www.businesswire.com/news/home/20210301005403/en/Rocket-Lab-an-End-to-End-Space-Company-and-Global-Leader-in-Launch-to-Become-Publicly-Traded-Through-Merger-with-Vector-Acquisition-Corporation" TargetMode="External"/><Relationship Id="rId511" Type="http://schemas.openxmlformats.org/officeDocument/2006/relationships/hyperlink" Target="https://www.prnewswire.com/news-releases/taboola-a-global-leader-in-powering-recommendations-for-the-open-web-to-become-nyse-listed-at-an-implied-2-6-billion-valuation-via-a-merger-with-ion-acquisition-corp-1-ltd-301213681.html" TargetMode="External"/><Relationship Id="rId753" Type="http://schemas.openxmlformats.org/officeDocument/2006/relationships/hyperlink" Target="https://www.sec.gov/cgi-bin/browse-edgar?CIK=1821329" TargetMode="External"/><Relationship Id="rId995" Type="http://schemas.openxmlformats.org/officeDocument/2006/relationships/hyperlink" Target="https://www.sec.gov/cgi-bin/browse-edgar?CIK=1819994" TargetMode="External"/><Relationship Id="rId518" Type="http://schemas.openxmlformats.org/officeDocument/2006/relationships/hyperlink" Target="https://www.sec.gov/cgi-bin/browse-edgar?CIK=1834645" TargetMode="External"/><Relationship Id="rId517" Type="http://schemas.openxmlformats.org/officeDocument/2006/relationships/hyperlink" Target="https://www.sec.gov/cgi-bin/browse-edgar?CIK=1819496" TargetMode="External"/><Relationship Id="rId759" Type="http://schemas.openxmlformats.org/officeDocument/2006/relationships/hyperlink" Target="https://www.sec.gov/cgi-bin/browse-edgar?CIK=1843716" TargetMode="External"/><Relationship Id="rId516" Type="http://schemas.openxmlformats.org/officeDocument/2006/relationships/hyperlink" Target="https://www.sec.gov/cgi-bin/browse-edgar?CIK=1837177" TargetMode="External"/><Relationship Id="rId758" Type="http://schemas.openxmlformats.org/officeDocument/2006/relationships/hyperlink" Target="https://www.sec.gov/cgi-bin/browse-edgar?CIK=1833235" TargetMode="External"/><Relationship Id="rId515" Type="http://schemas.openxmlformats.org/officeDocument/2006/relationships/hyperlink" Target="https://www.sec.gov/cgi-bin/browse-edgar?CIK=1835205" TargetMode="External"/><Relationship Id="rId757" Type="http://schemas.openxmlformats.org/officeDocument/2006/relationships/hyperlink" Target="https://www.sec.gov/Archives/edgar/data/1805521/000121390021004766/ea134038ex99-2_property.htm" TargetMode="External"/><Relationship Id="rId999" Type="http://schemas.openxmlformats.org/officeDocument/2006/relationships/hyperlink" Target="https://www.sec.gov/cgi-bin/browse-edgar?CIK=1849590" TargetMode="External"/><Relationship Id="rId15" Type="http://schemas.openxmlformats.org/officeDocument/2006/relationships/hyperlink" Target="https://www.sec.gov/cgi-bin/browse-edgar?CIK=1836274" TargetMode="External"/><Relationship Id="rId990" Type="http://schemas.openxmlformats.org/officeDocument/2006/relationships/hyperlink" Target="https://www.sec.gov/cgi-bin/browse-edgar?CIK=1823481" TargetMode="External"/><Relationship Id="rId14" Type="http://schemas.openxmlformats.org/officeDocument/2006/relationships/hyperlink" Target="https://www.sec.gov/Archives/edgar/data/1823878/000110465921010465/tm214830d1_ex99-2.htm" TargetMode="External"/><Relationship Id="rId17" Type="http://schemas.openxmlformats.org/officeDocument/2006/relationships/hyperlink" Target="https://www.sec.gov/cgi-bin/browse-edgar?CIK=1844389" TargetMode="External"/><Relationship Id="rId16" Type="http://schemas.openxmlformats.org/officeDocument/2006/relationships/hyperlink" Target="https://www.sec.gov/cgi-bin/browse-edgar?CIK=1846125" TargetMode="External"/><Relationship Id="rId19" Type="http://schemas.openxmlformats.org/officeDocument/2006/relationships/hyperlink" Target="https://www.sec.gov/cgi-bin/browse-edgar?CIK=1847499" TargetMode="External"/><Relationship Id="rId510" Type="http://schemas.openxmlformats.org/officeDocument/2006/relationships/hyperlink" Target="https://www.sec.gov/cgi-bin/browse-edgar?CIK=1821018" TargetMode="External"/><Relationship Id="rId752" Type="http://schemas.openxmlformats.org/officeDocument/2006/relationships/hyperlink" Target="https://www.sec.gov/cgi-bin/browse-edgar?CIK=1812667" TargetMode="External"/><Relationship Id="rId994" Type="http://schemas.openxmlformats.org/officeDocument/2006/relationships/hyperlink" Target="https://www.sec.gov/cgi-bin/browse-edgar?CIK=1849125" TargetMode="External"/><Relationship Id="rId18" Type="http://schemas.openxmlformats.org/officeDocument/2006/relationships/hyperlink" Target="https://www.sec.gov/cgi-bin/browse-edgar?CIK=1847507" TargetMode="External"/><Relationship Id="rId751" Type="http://schemas.openxmlformats.org/officeDocument/2006/relationships/hyperlink" Target="https://www.sec.gov/cgi-bin/browse-edgar?CIK=1826333" TargetMode="External"/><Relationship Id="rId993" Type="http://schemas.openxmlformats.org/officeDocument/2006/relationships/hyperlink" Target="https://www.sec.gov/cgi-bin/browse-edgar?CIK=1793081" TargetMode="External"/><Relationship Id="rId750" Type="http://schemas.openxmlformats.org/officeDocument/2006/relationships/hyperlink" Target="https://www.sec.gov/cgi-bin/browse-edgar?CIK=1829427" TargetMode="External"/><Relationship Id="rId992" Type="http://schemas.openxmlformats.org/officeDocument/2006/relationships/hyperlink" Target="https://www.sec.gov/cgi-bin/browse-edgar?CIK=1844417" TargetMode="External"/><Relationship Id="rId991" Type="http://schemas.openxmlformats.org/officeDocument/2006/relationships/hyperlink" Target="https://www.sec.gov/cgi-bin/browse-edgar?CIK=1849470" TargetMode="External"/><Relationship Id="rId84" Type="http://schemas.openxmlformats.org/officeDocument/2006/relationships/hyperlink" Target="https://www.sec.gov/cgi-bin/browse-edgar?CIK=1846847" TargetMode="External"/><Relationship Id="rId83" Type="http://schemas.openxmlformats.org/officeDocument/2006/relationships/hyperlink" Target="https://www.sec.gov/cgi-bin/browse-edgar?CIK=1844981" TargetMode="External"/><Relationship Id="rId86" Type="http://schemas.openxmlformats.org/officeDocument/2006/relationships/hyperlink" Target="https://www.sec.gov/cgi-bin/browse-edgar?CIK=1840632" TargetMode="External"/><Relationship Id="rId85" Type="http://schemas.openxmlformats.org/officeDocument/2006/relationships/hyperlink" Target="https://www.sec.gov/cgi-bin/browse-edgar?CIK=1838337" TargetMode="External"/><Relationship Id="rId88" Type="http://schemas.openxmlformats.org/officeDocument/2006/relationships/hyperlink" Target="https://www.sec.gov/cgi-bin/browse-edgar?CIK=1845550" TargetMode="External"/><Relationship Id="rId87" Type="http://schemas.openxmlformats.org/officeDocument/2006/relationships/hyperlink" Target="https://www.sec.gov/cgi-bin/browse-edgar?CIK=1820872" TargetMode="External"/><Relationship Id="rId89" Type="http://schemas.openxmlformats.org/officeDocument/2006/relationships/hyperlink" Target="https://www.sec.gov/cgi-bin/browse-edgar?CIK=1777921" TargetMode="External"/><Relationship Id="rId709" Type="http://schemas.openxmlformats.org/officeDocument/2006/relationships/hyperlink" Target="https://www.sec.gov/cgi-bin/browse-edgar?CIK=1824677" TargetMode="External"/><Relationship Id="rId708" Type="http://schemas.openxmlformats.org/officeDocument/2006/relationships/hyperlink" Target="https://www.sec.gov/cgi-bin/browse-edgar?CIK=1849074" TargetMode="External"/><Relationship Id="rId707" Type="http://schemas.openxmlformats.org/officeDocument/2006/relationships/hyperlink" Target="https://www.sec.gov/cgi-bin/browse-edgar?CIK=1820175" TargetMode="External"/><Relationship Id="rId949" Type="http://schemas.openxmlformats.org/officeDocument/2006/relationships/hyperlink" Target="https://www.sec.gov/cgi-bin/browse-edgar?CIK=1846163" TargetMode="External"/><Relationship Id="rId706" Type="http://schemas.openxmlformats.org/officeDocument/2006/relationships/hyperlink" Target="https://www.sec.gov/cgi-bin/browse-edgar?CIK=1827669" TargetMode="External"/><Relationship Id="rId948" Type="http://schemas.openxmlformats.org/officeDocument/2006/relationships/hyperlink" Target="https://www.sec.gov/cgi-bin/browse-edgar?CIK=1820144" TargetMode="External"/><Relationship Id="rId80" Type="http://schemas.openxmlformats.org/officeDocument/2006/relationships/hyperlink" Target="https://www.sec.gov/cgi-bin/browse-edgar?CIK=1816613" TargetMode="External"/><Relationship Id="rId82" Type="http://schemas.openxmlformats.org/officeDocument/2006/relationships/hyperlink" Target="https://www.sec.gov/Archives/edgar/data/1816613/000110465921027194/tm217725d1_ex99-2.htm" TargetMode="External"/><Relationship Id="rId81" Type="http://schemas.openxmlformats.org/officeDocument/2006/relationships/hyperlink" Target="https://www.businesswire.com/news/home/20210224005529/en/Markforged-Leader-in-Additive-Manufacturing-to-Become-Publicly-Listed-Through-Merger-With-one" TargetMode="External"/><Relationship Id="rId701" Type="http://schemas.openxmlformats.org/officeDocument/2006/relationships/hyperlink" Target="https://www.sec.gov/cgi-bin/browse-edgar?CIK=1838433" TargetMode="External"/><Relationship Id="rId943" Type="http://schemas.openxmlformats.org/officeDocument/2006/relationships/hyperlink" Target="https://www.sec.gov/cgi-bin/browse-edgar?CIK=1760689" TargetMode="External"/><Relationship Id="rId700" Type="http://schemas.openxmlformats.org/officeDocument/2006/relationships/hyperlink" Target="https://www.sec.gov/cgi-bin/browse-edgar?CIK=1847521" TargetMode="External"/><Relationship Id="rId942" Type="http://schemas.openxmlformats.org/officeDocument/2006/relationships/hyperlink" Target="https://www.sec.gov/cgi-bin/browse-edgar?CIK=1773087" TargetMode="External"/><Relationship Id="rId941" Type="http://schemas.openxmlformats.org/officeDocument/2006/relationships/hyperlink" Target="https://www.sec.gov/Archives/edgar/data/1769318/000121390020042671/ea131644ex99-2_thunder2.htm" TargetMode="External"/><Relationship Id="rId940" Type="http://schemas.openxmlformats.org/officeDocument/2006/relationships/hyperlink" Target="https://www.businesswire.com/news/home/20201215005430/en/indie-Semiconductor-Enters-Definitive-Merger-Agreement-with-Thunder-Bridge-Acquisition-II-Ltd." TargetMode="External"/><Relationship Id="rId705" Type="http://schemas.openxmlformats.org/officeDocument/2006/relationships/hyperlink" Target="https://www.sec.gov/cgi-bin/browse-edgar?CIK=1845036" TargetMode="External"/><Relationship Id="rId947" Type="http://schemas.openxmlformats.org/officeDocument/2006/relationships/hyperlink" Target="https://www.sec.gov/cgi-bin/browse-edgar?CIK=1835567" TargetMode="External"/><Relationship Id="rId704" Type="http://schemas.openxmlformats.org/officeDocument/2006/relationships/hyperlink" Target="https://www.sec.gov/cgi-bin/browse-edgar?CIK=1820931" TargetMode="External"/><Relationship Id="rId946" Type="http://schemas.openxmlformats.org/officeDocument/2006/relationships/hyperlink" Target="https://www.sec.gov/cgi-bin/browse-edgar?CIK=1843993" TargetMode="External"/><Relationship Id="rId703" Type="http://schemas.openxmlformats.org/officeDocument/2006/relationships/hyperlink" Target="https://www.sec.gov/cgi-bin/browse-edgar?CIK=1837226" TargetMode="External"/><Relationship Id="rId945" Type="http://schemas.openxmlformats.org/officeDocument/2006/relationships/hyperlink" Target="https://www.sec.gov/Archives/edgar/data/1760689/000121390021005602/ea134295ex99-2_tuscanhold.htm" TargetMode="External"/><Relationship Id="rId702" Type="http://schemas.openxmlformats.org/officeDocument/2006/relationships/hyperlink" Target="https://www.sec.gov/cgi-bin/browse-edgar?CIK=1828536" TargetMode="External"/><Relationship Id="rId944" Type="http://schemas.openxmlformats.org/officeDocument/2006/relationships/hyperlink" Target="https://www.businesswire.com/news/home/20210201005283/en/Microvast-a-Leading-Innovator-of-EV-Battery-Technologies-to-List-on-Nasdaq-Through-Merger-with-Tuscan-Holdings-Corp" TargetMode="External"/><Relationship Id="rId73" Type="http://schemas.openxmlformats.org/officeDocument/2006/relationships/hyperlink" Target="https://www.sec.gov/cgi-bin/browse-edgar?CIK=1788028" TargetMode="External"/><Relationship Id="rId72" Type="http://schemas.openxmlformats.org/officeDocument/2006/relationships/hyperlink" Target="https://www.sec.gov/cgi-bin/browse-edgar?CIK=1843724" TargetMode="External"/><Relationship Id="rId75" Type="http://schemas.openxmlformats.org/officeDocument/2006/relationships/hyperlink" Target="https://www.sec.gov/cgi-bin/browse-edgar?CIK=1829558" TargetMode="External"/><Relationship Id="rId74" Type="http://schemas.openxmlformats.org/officeDocument/2006/relationships/hyperlink" Target="https://www.sec.gov/cgi-bin/browse-edgar?CIK=1835636" TargetMode="External"/><Relationship Id="rId77" Type="http://schemas.openxmlformats.org/officeDocument/2006/relationships/hyperlink" Target="https://www.globenewswire.com/news-release/2021/01/28/2165680/0/en/Stryve-Foods-LLC-an-Emerging-Healthy-Snacking-Platform-to-list-on-NASDAQ-through-business-combination-with-Andina-Acquisition-Corp-III.html" TargetMode="External"/><Relationship Id="rId76" Type="http://schemas.openxmlformats.org/officeDocument/2006/relationships/hyperlink" Target="https://www.sec.gov/cgi-bin/browse-edgar?CIK=1691936" TargetMode="External"/><Relationship Id="rId79" Type="http://schemas.openxmlformats.org/officeDocument/2006/relationships/hyperlink" Target="https://www.sec.gov/cgi-bin/browse-edgar?CIK=1840877" TargetMode="External"/><Relationship Id="rId78" Type="http://schemas.openxmlformats.org/officeDocument/2006/relationships/hyperlink" Target="https://www.sec.gov/Archives/edgar/data/1691936/000149315221001957/ex99-1.htm" TargetMode="External"/><Relationship Id="rId939" Type="http://schemas.openxmlformats.org/officeDocument/2006/relationships/hyperlink" Target="https://www.sec.gov/cgi-bin/browse-edgar?CIK=1769318" TargetMode="External"/><Relationship Id="rId938" Type="http://schemas.openxmlformats.org/officeDocument/2006/relationships/hyperlink" Target="https://www.sec.gov/cgi-bin/browse-edgar?CIK=1847355" TargetMode="External"/><Relationship Id="rId937" Type="http://schemas.openxmlformats.org/officeDocument/2006/relationships/hyperlink" Target="https://www.sec.gov/cgi-bin/browse-edgar?CIK=1840920" TargetMode="External"/><Relationship Id="rId71" Type="http://schemas.openxmlformats.org/officeDocument/2006/relationships/hyperlink" Target="https://www.sec.gov/cgi-bin/browse-edgar?CIK=1843656" TargetMode="External"/><Relationship Id="rId70" Type="http://schemas.openxmlformats.org/officeDocument/2006/relationships/hyperlink" Target="https://www.sec.gov/Archives/edgar/data/1781115/000121390021005199/ea134163ex99-2_alussaenergy.htm" TargetMode="External"/><Relationship Id="rId932" Type="http://schemas.openxmlformats.org/officeDocument/2006/relationships/hyperlink" Target="http://www.globenewswire.com/news-release/2021/02/22/2179513/0/en/Lottery-com-a-Leading-Platform-to-Play-the-Lottery-Online-Enters-into-Definitive-Agreement-with-Trident-Acquisitions-Corp-to-Become-Publicly-Traded.html" TargetMode="External"/><Relationship Id="rId931" Type="http://schemas.openxmlformats.org/officeDocument/2006/relationships/hyperlink" Target="https://www.sec.gov/cgi-bin/browse-edgar?CIK=1673481" TargetMode="External"/><Relationship Id="rId930" Type="http://schemas.openxmlformats.org/officeDocument/2006/relationships/hyperlink" Target="https://www.sec.gov/cgi-bin/browse-edgar?CIK=1845580" TargetMode="External"/><Relationship Id="rId936" Type="http://schemas.openxmlformats.org/officeDocument/2006/relationships/hyperlink" Target="https://www.sec.gov/cgi-bin/browse-edgar?CIK=1822027" TargetMode="External"/><Relationship Id="rId935" Type="http://schemas.openxmlformats.org/officeDocument/2006/relationships/hyperlink" Target="https://www.sec.gov/cgi-bin/browse-edgar?CIK=1847419" TargetMode="External"/><Relationship Id="rId934" Type="http://schemas.openxmlformats.org/officeDocument/2006/relationships/hyperlink" Target="https://www.sec.gov/cgi-bin/browse-edgar?CIK=1850239" TargetMode="External"/><Relationship Id="rId933" Type="http://schemas.openxmlformats.org/officeDocument/2006/relationships/hyperlink" Target="https://www.sec.gov/Archives/edgar/data/1673481/000121390021016773/ea137909ex99-1_trident.htm" TargetMode="External"/><Relationship Id="rId62" Type="http://schemas.openxmlformats.org/officeDocument/2006/relationships/hyperlink" Target="https://www.sec.gov/cgi-bin/browse-edgar?CIK=1849056" TargetMode="External"/><Relationship Id="rId61" Type="http://schemas.openxmlformats.org/officeDocument/2006/relationships/hyperlink" Target="https://www.sec.gov/Archives/edgar/data/1748621/000121390021017109/ea138236ex99-1_alberton.htm" TargetMode="External"/><Relationship Id="rId64" Type="http://schemas.openxmlformats.org/officeDocument/2006/relationships/hyperlink" Target="https://www.sec.gov/cgi-bin/browse-edgar?CIK=1842428" TargetMode="External"/><Relationship Id="rId63" Type="http://schemas.openxmlformats.org/officeDocument/2006/relationships/hyperlink" Target="https://www.sec.gov/cgi-bin/browse-edgar?CIK=1842939" TargetMode="External"/><Relationship Id="rId66" Type="http://schemas.openxmlformats.org/officeDocument/2006/relationships/hyperlink" Target="https://www.sec.gov/cgi-bin/browse-edgar?CIK=1843079" TargetMode="External"/><Relationship Id="rId65" Type="http://schemas.openxmlformats.org/officeDocument/2006/relationships/hyperlink" Target="https://www.sec.gov/cgi-bin/browse-edgar?CIK=1845136" TargetMode="External"/><Relationship Id="rId68" Type="http://schemas.openxmlformats.org/officeDocument/2006/relationships/hyperlink" Target="https://www.sec.gov/cgi-bin/browse-edgar?CIK=1781115" TargetMode="External"/><Relationship Id="rId67" Type="http://schemas.openxmlformats.org/officeDocument/2006/relationships/hyperlink" Target="https://www.sec.gov/cgi-bin/browse-edgar?CIK=1822366" TargetMode="External"/><Relationship Id="rId729" Type="http://schemas.openxmlformats.org/officeDocument/2006/relationships/hyperlink" Target="http://jd.com/" TargetMode="External"/><Relationship Id="rId728" Type="http://schemas.openxmlformats.org/officeDocument/2006/relationships/hyperlink" Target="https://www.sec.gov/cgi-bin/browse-edgar?CIK=1828989" TargetMode="External"/><Relationship Id="rId60" Type="http://schemas.openxmlformats.org/officeDocument/2006/relationships/hyperlink" Target="http://www.globenewswire.com/news-release/2020/10/28/2115840/0/en/Alberton-Acquisition-Corp-Announces-Signing-of-Merger-Agreement-with-SolarMax-Technology-Inc.html" TargetMode="External"/><Relationship Id="rId723" Type="http://schemas.openxmlformats.org/officeDocument/2006/relationships/hyperlink" Target="https://www.sec.gov/cgi-bin/browse-edgar?CIK=1819404" TargetMode="External"/><Relationship Id="rId965" Type="http://schemas.openxmlformats.org/officeDocument/2006/relationships/hyperlink" Target="https://www.sec.gov/cgi-bin/browse-edgar?CIK=1844300" TargetMode="External"/><Relationship Id="rId722" Type="http://schemas.openxmlformats.org/officeDocument/2006/relationships/hyperlink" Target="https://www.sec.gov/cgi-bin/browse-edgar?CIK=1847619" TargetMode="External"/><Relationship Id="rId964" Type="http://schemas.openxmlformats.org/officeDocument/2006/relationships/hyperlink" Target="https://www.sec.gov/cgi-bin/browse-edgar?CIK=1852736" TargetMode="External"/><Relationship Id="rId721" Type="http://schemas.openxmlformats.org/officeDocument/2006/relationships/hyperlink" Target="https://www.sec.gov/cgi-bin/browse-edgar?CIK=1821318" TargetMode="External"/><Relationship Id="rId963" Type="http://schemas.openxmlformats.org/officeDocument/2006/relationships/hyperlink" Target="https://www.sec.gov/cgi-bin/browse-edgar?CIK=1805833" TargetMode="External"/><Relationship Id="rId720" Type="http://schemas.openxmlformats.org/officeDocument/2006/relationships/hyperlink" Target="https://www.sec.gov/cgi-bin/browse-edgar?CIK=1825377" TargetMode="External"/><Relationship Id="rId962" Type="http://schemas.openxmlformats.org/officeDocument/2006/relationships/hyperlink" Target="https://www.sec.gov/cgi-bin/browse-edgar?CIK=1840353" TargetMode="External"/><Relationship Id="rId727" Type="http://schemas.openxmlformats.org/officeDocument/2006/relationships/hyperlink" Target="https://www.sec.gov/cgi-bin/browse-edgar?CIK=1810560" TargetMode="External"/><Relationship Id="rId969" Type="http://schemas.openxmlformats.org/officeDocument/2006/relationships/hyperlink" Target="https://www.sec.gov/Archives/edgar/data/1826000/000119312521015400/d73403dex992.htm" TargetMode="External"/><Relationship Id="rId726" Type="http://schemas.openxmlformats.org/officeDocument/2006/relationships/hyperlink" Target="https://www.sec.gov/cgi-bin/browse-edgar?CIK=1829797" TargetMode="External"/><Relationship Id="rId968" Type="http://schemas.openxmlformats.org/officeDocument/2006/relationships/hyperlink" Target="https://www.prnewswire.com/news-releases/latch-maker-of-full-building-enterprise-saas-platform-latchos-to-merge-with-tishman-speyer-sponsored-spac-and-become-publicly-listed-company-301213873.html" TargetMode="External"/><Relationship Id="rId725" Type="http://schemas.openxmlformats.org/officeDocument/2006/relationships/hyperlink" Target="https://www.sec.gov/Archives/edgar/data/1819404/000119312521021623/d104457dex992.htm" TargetMode="External"/><Relationship Id="rId967" Type="http://schemas.openxmlformats.org/officeDocument/2006/relationships/hyperlink" Target="https://www.sec.gov/cgi-bin/browse-edgar?CIK=1826000" TargetMode="External"/><Relationship Id="rId724" Type="http://schemas.openxmlformats.org/officeDocument/2006/relationships/hyperlink" Target="https://www.businesswire.com/news/home/20210129005283/en/Nerdy-to-Become-Public-Company-via-Business-Combination-with-TPG-Pace-Tech-Opportunities" TargetMode="External"/><Relationship Id="rId966" Type="http://schemas.openxmlformats.org/officeDocument/2006/relationships/hyperlink" Target="https://www.sec.gov/cgi-bin/browse-edgar?CIK=1847112" TargetMode="External"/><Relationship Id="rId69" Type="http://schemas.openxmlformats.org/officeDocument/2006/relationships/hyperlink" Target="https://www.businesswire.com/news/home/20210128006233/en/FREYR-a-Developer-of-Clean-Next-Generation-Battery-Cells-to-List-on-NYSE-Through-a-Business-Combination-with-Alussa-Energy-Acquisition-Corp" TargetMode="External"/><Relationship Id="rId961" Type="http://schemas.openxmlformats.org/officeDocument/2006/relationships/hyperlink" Target="https://www.sec.gov/cgi-bin/browse-edgar?CIK=1841230" TargetMode="External"/><Relationship Id="rId960" Type="http://schemas.openxmlformats.org/officeDocument/2006/relationships/hyperlink" Target="https://www.tpg.com/sites/default/files/2020-12/201210%20Project%20Edison%20Announcement%20Presentation_vF.pdf" TargetMode="External"/><Relationship Id="rId51" Type="http://schemas.openxmlformats.org/officeDocument/2006/relationships/hyperlink" Target="https://www.sec.gov/cgi-bin/browse-edgar?CIK=1842329" TargetMode="External"/><Relationship Id="rId50" Type="http://schemas.openxmlformats.org/officeDocument/2006/relationships/hyperlink" Target="https://www.sec.gov/cgi-bin/browse-edgar?CIK=1830232" TargetMode="External"/><Relationship Id="rId53" Type="http://schemas.openxmlformats.org/officeDocument/2006/relationships/hyperlink" Target="https://www.globenewswire.com/news-release/2021/02/17/2176945/0/en/Humacyte-a-Transformative-Biotechnology-Platform-Company-Capable-of-Manufacturing-Universally-Implantable-Bioengineered-Human-Tissue-at-Commercial-Scale-Going-Public-via-Merger-wit.html" TargetMode="External"/><Relationship Id="rId52" Type="http://schemas.openxmlformats.org/officeDocument/2006/relationships/hyperlink" Target="https://www.sec.gov/cgi-bin/browse-edgar?CIK=1818382" TargetMode="External"/><Relationship Id="rId55" Type="http://schemas.openxmlformats.org/officeDocument/2006/relationships/hyperlink" Target="https://www.sec.gov/cgi-bin/browse-edgar?CIK=1824963" TargetMode="External"/><Relationship Id="rId54" Type="http://schemas.openxmlformats.org/officeDocument/2006/relationships/hyperlink" Target="https://www.sec.gov/Archives/edgar/data/1818382/000121390021009957/ea135854ex99-2_alphahealth.htm" TargetMode="External"/><Relationship Id="rId57" Type="http://schemas.openxmlformats.org/officeDocument/2006/relationships/hyperlink" Target="https://www.sec.gov/Archives/edgar/data/1824963/000121390021018099/ea138507ex99-2_ajax1.htm" TargetMode="External"/><Relationship Id="rId56" Type="http://schemas.openxmlformats.org/officeDocument/2006/relationships/hyperlink" Target="https://www.businesswire.com/news/home/20210328005028/en/Cazoo-to-Become-Listed-on-NYSE-through-7.0-Billion-Business-Combination-with-AJAX-I" TargetMode="External"/><Relationship Id="rId719" Type="http://schemas.openxmlformats.org/officeDocument/2006/relationships/hyperlink" Target="https://www.sec.gov/cgi-bin/browse-edgar?CIK=1846809" TargetMode="External"/><Relationship Id="rId718" Type="http://schemas.openxmlformats.org/officeDocument/2006/relationships/hyperlink" Target="https://www.sec.gov/cgi-bin/browse-edgar?CIK=1834226" TargetMode="External"/><Relationship Id="rId717" Type="http://schemas.openxmlformats.org/officeDocument/2006/relationships/hyperlink" Target="https://www.sec.gov/cgi-bin/browse-edgar?CIK=1832136" TargetMode="External"/><Relationship Id="rId959" Type="http://schemas.openxmlformats.org/officeDocument/2006/relationships/hyperlink" Target="https://www.businesswire.com/news/home/20201210006109/en/" TargetMode="External"/><Relationship Id="rId712" Type="http://schemas.openxmlformats.org/officeDocument/2006/relationships/hyperlink" Target="https://www.sec.gov/cgi-bin/browse-edgar?CIK=1810200" TargetMode="External"/><Relationship Id="rId954" Type="http://schemas.openxmlformats.org/officeDocument/2006/relationships/hyperlink" Target="https://www.sec.gov/cgi-bin/browse-edgar?CIK=1822553" TargetMode="External"/><Relationship Id="rId711" Type="http://schemas.openxmlformats.org/officeDocument/2006/relationships/hyperlink" Target="https://www.sec.gov/cgi-bin/browse-edgar?CIK=1832010" TargetMode="External"/><Relationship Id="rId953" Type="http://schemas.openxmlformats.org/officeDocument/2006/relationships/hyperlink" Target="https://www.sec.gov/cgi-bin/browse-edgar?CIK=1823524" TargetMode="External"/><Relationship Id="rId710" Type="http://schemas.openxmlformats.org/officeDocument/2006/relationships/hyperlink" Target="https://www.sec.gov/cgi-bin/browse-edgar?CIK=1836129" TargetMode="External"/><Relationship Id="rId952" Type="http://schemas.openxmlformats.org/officeDocument/2006/relationships/hyperlink" Target="https://www.sec.gov/cgi-bin/browse-edgar?CIK=1821606" TargetMode="External"/><Relationship Id="rId951" Type="http://schemas.openxmlformats.org/officeDocument/2006/relationships/hyperlink" Target="https://www.sec.gov/cgi-bin/browse-edgar?CIK=1835236" TargetMode="External"/><Relationship Id="rId716" Type="http://schemas.openxmlformats.org/officeDocument/2006/relationships/hyperlink" Target="https://www.sec.gov/cgi-bin/browse-edgar?CIK=1845619" TargetMode="External"/><Relationship Id="rId958" Type="http://schemas.openxmlformats.org/officeDocument/2006/relationships/hyperlink" Target="https://www.sec.gov/cgi-bin/browse-edgar?CIK=1819399" TargetMode="External"/><Relationship Id="rId715" Type="http://schemas.openxmlformats.org/officeDocument/2006/relationships/hyperlink" Target="https://www.sec.gov/cgi-bin/browse-edgar?CIK=1847416" TargetMode="External"/><Relationship Id="rId957" Type="http://schemas.openxmlformats.org/officeDocument/2006/relationships/hyperlink" Target="https://www.sec.gov/cgi-bin/browse-edgar?CIK=1840926" TargetMode="External"/><Relationship Id="rId714" Type="http://schemas.openxmlformats.org/officeDocument/2006/relationships/hyperlink" Target="https://www.sec.gov/cgi-bin/browse-edgar?CIK=1848507" TargetMode="External"/><Relationship Id="rId956" Type="http://schemas.openxmlformats.org/officeDocument/2006/relationships/hyperlink" Target="https://www.sec.gov/cgi-bin/browse-edgar?CIK=1840927" TargetMode="External"/><Relationship Id="rId713" Type="http://schemas.openxmlformats.org/officeDocument/2006/relationships/hyperlink" Target="https://www.sec.gov/cgi-bin/browse-edgar?CIK=1843121" TargetMode="External"/><Relationship Id="rId955" Type="http://schemas.openxmlformats.org/officeDocument/2006/relationships/hyperlink" Target="https://www.sec.gov/cgi-bin/browse-edgar?CIK=1847090" TargetMode="External"/><Relationship Id="rId59" Type="http://schemas.openxmlformats.org/officeDocument/2006/relationships/hyperlink" Target="https://www.sec.gov/cgi-bin/browse-edgar?CIK=1748621" TargetMode="External"/><Relationship Id="rId58" Type="http://schemas.openxmlformats.org/officeDocument/2006/relationships/hyperlink" Target="https://www.sec.gov/cgi-bin/browse-edgar?CIK=1826574" TargetMode="External"/><Relationship Id="rId950" Type="http://schemas.openxmlformats.org/officeDocument/2006/relationships/hyperlink" Target="https://www.sec.gov/cgi-bin/browse-edgar?CIK=1827871" TargetMode="External"/><Relationship Id="rId590" Type="http://schemas.openxmlformats.org/officeDocument/2006/relationships/hyperlink" Target="https://www.sec.gov/cgi-bin/browse-edgar?CIK=1823525" TargetMode="External"/><Relationship Id="rId107" Type="http://schemas.openxmlformats.org/officeDocument/2006/relationships/hyperlink" Target="https://www.sec.gov/cgi-bin/browse-edgar?CIK=1839191" TargetMode="External"/><Relationship Id="rId349" Type="http://schemas.openxmlformats.org/officeDocument/2006/relationships/hyperlink" Target="https://www.sec.gov/Archives/edgar/data/1818502/000110465921017063/tm216066d1_ex99-2.htm" TargetMode="External"/><Relationship Id="rId106" Type="http://schemas.openxmlformats.org/officeDocument/2006/relationships/hyperlink" Target="https://www.sec.gov/Archives/edgar/data/1819516/000110465921009670/tm214639d1_ex99-2.htm" TargetMode="External"/><Relationship Id="rId348" Type="http://schemas.openxmlformats.org/officeDocument/2006/relationships/hyperlink" Target="https://www.prnewswire.com/news-releases/opportunity-financial-oppfi-a-leading-fintech-platform-powering-credit-access-for-the-everyday-consumer-enters-into-definitive-business-combination-agreement-with-fg-new-america-acquisition-corp-301225844.html" TargetMode="External"/><Relationship Id="rId105" Type="http://schemas.openxmlformats.org/officeDocument/2006/relationships/hyperlink" Target="https://www.prnewswire.com/news-releases/wheels-up-the-leading-brand-in-private-aviation-announces-plans-to-become-publicly-traded-via-spac-merger-with-aspirational-consumer-lifestyle-corp-301218662.html" TargetMode="External"/><Relationship Id="rId347" Type="http://schemas.openxmlformats.org/officeDocument/2006/relationships/hyperlink" Target="https://www.sec.gov/cgi-bin/browse-edgar?CIK=1818502" TargetMode="External"/><Relationship Id="rId589" Type="http://schemas.openxmlformats.org/officeDocument/2006/relationships/hyperlink" Target="https://www.sec.gov/cgi-bin/browse-edgar?CIK=1802450" TargetMode="External"/><Relationship Id="rId104" Type="http://schemas.openxmlformats.org/officeDocument/2006/relationships/hyperlink" Target="https://www.sec.gov/cgi-bin/browse-edgar?CIK=1819516" TargetMode="External"/><Relationship Id="rId346" Type="http://schemas.openxmlformats.org/officeDocument/2006/relationships/hyperlink" Target="https://www.sec.gov/cgi-bin/browse-edgar?CIK=1823733" TargetMode="External"/><Relationship Id="rId588" Type="http://schemas.openxmlformats.org/officeDocument/2006/relationships/hyperlink" Target="https://www.sec.gov/cgi-bin/browse-edgar?CIK=1841024" TargetMode="External"/><Relationship Id="rId109" Type="http://schemas.openxmlformats.org/officeDocument/2006/relationships/hyperlink" Target="https://www.sec.gov/cgi-bin/browse-edgar?CIK=1823945" TargetMode="External"/><Relationship Id="rId108" Type="http://schemas.openxmlformats.org/officeDocument/2006/relationships/hyperlink" Target="https://www.sec.gov/cgi-bin/browse-edgar?CIK=1825254" TargetMode="External"/><Relationship Id="rId341" Type="http://schemas.openxmlformats.org/officeDocument/2006/relationships/hyperlink" Target="https://www.prnewswire.com/news-releases/advent-international-backed-ati-physical-therapy-set-to-go-public-through-business-combination-with-fortress-value-acquisition-corp-ii-301232282.html" TargetMode="External"/><Relationship Id="rId583" Type="http://schemas.openxmlformats.org/officeDocument/2006/relationships/hyperlink" Target="https://www.sec.gov/Archives/edgar/data/1716947/000121390021006308/ea134513ex99-1_leisureacq.htm" TargetMode="External"/><Relationship Id="rId340" Type="http://schemas.openxmlformats.org/officeDocument/2006/relationships/hyperlink" Target="https://www.sec.gov/cgi-bin/browse-edgar?CIK=1815849" TargetMode="External"/><Relationship Id="rId582" Type="http://schemas.openxmlformats.org/officeDocument/2006/relationships/hyperlink" Target="https://www.prnewswire.com/news-releases/leisure-acquisition-corp-enters-into-merger-agreement-for-business-combination-with-ensysce-biosciences-inc-301218847.html" TargetMode="External"/><Relationship Id="rId581" Type="http://schemas.openxmlformats.org/officeDocument/2006/relationships/hyperlink" Target="https://www.sec.gov/cgi-bin/browse-edgar?CIK=1716947" TargetMode="External"/><Relationship Id="rId580" Type="http://schemas.openxmlformats.org/officeDocument/2006/relationships/hyperlink" Target="https://www.sec.gov/cgi-bin/browse-edgar?CIK=1823086" TargetMode="External"/><Relationship Id="rId103" Type="http://schemas.openxmlformats.org/officeDocument/2006/relationships/hyperlink" Target="https://www.sec.gov/cgi-bin/browse-edgar?CIK=1836547" TargetMode="External"/><Relationship Id="rId345" Type="http://schemas.openxmlformats.org/officeDocument/2006/relationships/hyperlink" Target="https://www.sec.gov/Archives/edgar/data/1816233/000121390021008660/ea135097ex99-2_falcon.htm" TargetMode="External"/><Relationship Id="rId587" Type="http://schemas.openxmlformats.org/officeDocument/2006/relationships/hyperlink" Target="https://www.sec.gov/cgi-bin/browse-edgar?CIK=1844642" TargetMode="External"/><Relationship Id="rId102" Type="http://schemas.openxmlformats.org/officeDocument/2006/relationships/hyperlink" Target="https://www.sec.gov/cgi-bin/browse-edgar?CIK=1824211" TargetMode="External"/><Relationship Id="rId344" Type="http://schemas.openxmlformats.org/officeDocument/2006/relationships/hyperlink" Target="https://www.prnewswire.com/news-releases/sharecare-and-falcon-capital-acquisition-corp-reach-agreement-to-combine-creating-publicly-traded-digital-health-company-301227530.html" TargetMode="External"/><Relationship Id="rId586" Type="http://schemas.openxmlformats.org/officeDocument/2006/relationships/hyperlink" Target="https://www.sec.gov/Archives/edgar/data/1766146/000121390021018966/ea138713ex99-2_unionacq2.htm" TargetMode="External"/><Relationship Id="rId101" Type="http://schemas.openxmlformats.org/officeDocument/2006/relationships/hyperlink" Target="https://www.sec.gov/cgi-bin/browse-edgar?CIK=1819510" TargetMode="External"/><Relationship Id="rId343" Type="http://schemas.openxmlformats.org/officeDocument/2006/relationships/hyperlink" Target="https://www.sec.gov/cgi-bin/browse-edgar?CIK=1816233" TargetMode="External"/><Relationship Id="rId585" Type="http://schemas.openxmlformats.org/officeDocument/2006/relationships/hyperlink" Target="https://www.businesswire.com/news/home/20210331005170/en/" TargetMode="External"/><Relationship Id="rId100" Type="http://schemas.openxmlformats.org/officeDocument/2006/relationships/hyperlink" Target="https://www.sec.gov/cgi-bin/browse-edgar?CIK=1838821" TargetMode="External"/><Relationship Id="rId342" Type="http://schemas.openxmlformats.org/officeDocument/2006/relationships/hyperlink" Target="https://www.sec.gov/Archives/edgar/data/1815849/000119312521050079/d115588dex992.htm" TargetMode="External"/><Relationship Id="rId584" Type="http://schemas.openxmlformats.org/officeDocument/2006/relationships/hyperlink" Target="https://www.sec.gov/cgi-bin/browse-edgar?CIK=1766146" TargetMode="External"/><Relationship Id="rId338" Type="http://schemas.openxmlformats.org/officeDocument/2006/relationships/hyperlink" Target="https://www.sec.gov/cgi-bin/browse-edgar?CIK=1839550" TargetMode="External"/><Relationship Id="rId337" Type="http://schemas.openxmlformats.org/officeDocument/2006/relationships/hyperlink" Target="https://brs-apartments.flyblade.com/blade/production/uploaded-assets/1608012545.pdf" TargetMode="External"/><Relationship Id="rId579" Type="http://schemas.openxmlformats.org/officeDocument/2006/relationships/hyperlink" Target="https://www.sec.gov/cgi-bin/browse-edgar?CIK=1847037" TargetMode="External"/><Relationship Id="rId336" Type="http://schemas.openxmlformats.org/officeDocument/2006/relationships/hyperlink" Target="https://www.businesswire.com/news/home/20201215005456/en/Blade-to-Be-Listed-on-Nasdaq-Creating-the-Only-Publicly-Traded-Global-Urban-Air-Mobility-Company" TargetMode="External"/><Relationship Id="rId578" Type="http://schemas.openxmlformats.org/officeDocument/2006/relationships/hyperlink" Target="https://www.sec.gov/cgi-bin/browse-edgar?CIK=1846068" TargetMode="External"/><Relationship Id="rId335" Type="http://schemas.openxmlformats.org/officeDocument/2006/relationships/hyperlink" Target="https://www.sec.gov/cgi-bin/browse-edgar?CIK=1779128" TargetMode="External"/><Relationship Id="rId577" Type="http://schemas.openxmlformats.org/officeDocument/2006/relationships/hyperlink" Target="https://www.sec.gov/cgi-bin/browse-edgar?CIK=1846069" TargetMode="External"/><Relationship Id="rId339" Type="http://schemas.openxmlformats.org/officeDocument/2006/relationships/hyperlink" Target="https://www.sec.gov/cgi-bin/browse-edgar?CIK=1838987" TargetMode="External"/><Relationship Id="rId330" Type="http://schemas.openxmlformats.org/officeDocument/2006/relationships/hyperlink" Target="https://www.sec.gov/cgi-bin/browse-edgar?CIK=1814728" TargetMode="External"/><Relationship Id="rId572" Type="http://schemas.openxmlformats.org/officeDocument/2006/relationships/hyperlink" Target="https://www.sec.gov/cgi-bin/browse-edgar?CIK=1814824" TargetMode="External"/><Relationship Id="rId571" Type="http://schemas.openxmlformats.org/officeDocument/2006/relationships/hyperlink" Target="https://www.sec.gov/cgi-bin/browse-edgar?CIK=1843351" TargetMode="External"/><Relationship Id="rId570" Type="http://schemas.openxmlformats.org/officeDocument/2006/relationships/hyperlink" Target="https://www.sec.gov/cgi-bin/browse-edgar?CIK=1832950" TargetMode="External"/><Relationship Id="rId334" Type="http://schemas.openxmlformats.org/officeDocument/2006/relationships/hyperlink" Target="https://www.sec.gov/cgi-bin/browse-edgar?CIK=1844019" TargetMode="External"/><Relationship Id="rId576" Type="http://schemas.openxmlformats.org/officeDocument/2006/relationships/hyperlink" Target="https://www.sec.gov/cgi-bin/browse-edgar?CIK=1841873" TargetMode="External"/><Relationship Id="rId333" Type="http://schemas.openxmlformats.org/officeDocument/2006/relationships/hyperlink" Target="https://www.sec.gov/cgi-bin/browse-edgar?CIK=1834342" TargetMode="External"/><Relationship Id="rId575" Type="http://schemas.openxmlformats.org/officeDocument/2006/relationships/hyperlink" Target="https://www.sec.gov/cgi-bin/browse-edgar?CIK=1836967" TargetMode="External"/><Relationship Id="rId332" Type="http://schemas.openxmlformats.org/officeDocument/2006/relationships/hyperlink" Target="https://www.sec.gov/cgi-bin/browse-edgar?CIK=1832505" TargetMode="External"/><Relationship Id="rId574" Type="http://schemas.openxmlformats.org/officeDocument/2006/relationships/hyperlink" Target="https://www.sec.gov/Archives/edgar/data/1814824/000121390021005589/ea134294ex99-2_kismet.htm" TargetMode="External"/><Relationship Id="rId331" Type="http://schemas.openxmlformats.org/officeDocument/2006/relationships/hyperlink" Target="https://www.sec.gov/cgi-bin/browse-edgar?CIK=1822929" TargetMode="External"/><Relationship Id="rId573" Type="http://schemas.openxmlformats.org/officeDocument/2006/relationships/hyperlink" Target="https://www.businesswire.com/news/home/20210201005420/en/Nexters-Global-the-Owner-of-Blockbuster-Mobile-Game-Hero-Wars-to-Go-Public-Via-Merger-With-Kismet-Acquisition-One-SPAC" TargetMode="External"/><Relationship Id="rId370" Type="http://schemas.openxmlformats.org/officeDocument/2006/relationships/hyperlink" Target="https://www.sec.gov/cgi-bin/browse-edgar?CIK=1840161" TargetMode="External"/><Relationship Id="rId129" Type="http://schemas.openxmlformats.org/officeDocument/2006/relationships/hyperlink" Target="https://www.sec.gov/cgi-bin/browse-edgar?CIK=1828735" TargetMode="External"/><Relationship Id="rId128" Type="http://schemas.openxmlformats.org/officeDocument/2006/relationships/hyperlink" Target="https://www.sec.gov/cgi-bin/browse-edgar?CIK=1833214" TargetMode="External"/><Relationship Id="rId127" Type="http://schemas.openxmlformats.org/officeDocument/2006/relationships/hyperlink" Target="https://www.sec.gov/cgi-bin/browse-edgar?CIK=1819133" TargetMode="External"/><Relationship Id="rId369" Type="http://schemas.openxmlformats.org/officeDocument/2006/relationships/hyperlink" Target="https://www.sec.gov/Archives/edgar/data/1826889/000121390021007925/ea135103ex99-2_forestroad.htm" TargetMode="External"/><Relationship Id="rId126" Type="http://schemas.openxmlformats.org/officeDocument/2006/relationships/hyperlink" Target="https://www.sec.gov/cgi-bin/browse-edgar?CIK=1844740" TargetMode="External"/><Relationship Id="rId368" Type="http://schemas.openxmlformats.org/officeDocument/2006/relationships/hyperlink" Target="https://www.businesswire.com/news/home/20210210005414/en/The-Beachbody-Company-a-Leader-in-Digital-Fitness-Streaming-and-Nutrition-Solutions-to-Become-Publicly-Traded-Company" TargetMode="External"/><Relationship Id="rId121" Type="http://schemas.openxmlformats.org/officeDocument/2006/relationships/hyperlink" Target="https://www.sec.gov/cgi-bin/browse-edgar?CIK=1836478" TargetMode="External"/><Relationship Id="rId363" Type="http://schemas.openxmlformats.org/officeDocument/2006/relationships/hyperlink" Target="https://www.sec.gov/cgi-bin/browse-edgar?CIK=1829426" TargetMode="External"/><Relationship Id="rId120" Type="http://schemas.openxmlformats.org/officeDocument/2006/relationships/hyperlink" Target="https://www.sec.gov/cgi-bin/browse-edgar?CIK=1838207" TargetMode="External"/><Relationship Id="rId362" Type="http://schemas.openxmlformats.org/officeDocument/2006/relationships/hyperlink" Target="https://www.sec.gov/cgi-bin/browse-edgar?CIK=1829999" TargetMode="External"/><Relationship Id="rId361" Type="http://schemas.openxmlformats.org/officeDocument/2006/relationships/hyperlink" Target="https://www.sec.gov/cgi-bin/browse-edgar?CIK=1832511" TargetMode="External"/><Relationship Id="rId360" Type="http://schemas.openxmlformats.org/officeDocument/2006/relationships/hyperlink" Target="https://www.sec.gov/cgi-bin/browse-edgar?CIK=1842916" TargetMode="External"/><Relationship Id="rId125" Type="http://schemas.openxmlformats.org/officeDocument/2006/relationships/hyperlink" Target="https://www.sec.gov/cgi-bin/browse-edgar?CIK=1842668" TargetMode="External"/><Relationship Id="rId367" Type="http://schemas.openxmlformats.org/officeDocument/2006/relationships/hyperlink" Target="https://www.sec.gov/cgi-bin/browse-edgar?CIK=1826889" TargetMode="External"/><Relationship Id="rId124" Type="http://schemas.openxmlformats.org/officeDocument/2006/relationships/hyperlink" Target="https://www.sec.gov/cgi-bin/browse-edgar?CIK=1814140" TargetMode="External"/><Relationship Id="rId366" Type="http://schemas.openxmlformats.org/officeDocument/2006/relationships/hyperlink" Target="https://www.sec.gov/cgi-bin/browse-edgar?CIK=1825739" TargetMode="External"/><Relationship Id="rId123" Type="http://schemas.openxmlformats.org/officeDocument/2006/relationships/hyperlink" Target="https://www.sec.gov/cgi-bin/browse-edgar?CIK=1850490" TargetMode="External"/><Relationship Id="rId365" Type="http://schemas.openxmlformats.org/officeDocument/2006/relationships/hyperlink" Target="https://www.sec.gov/cgi-bin/browse-edgar?CIK=1842883" TargetMode="External"/><Relationship Id="rId122" Type="http://schemas.openxmlformats.org/officeDocument/2006/relationships/hyperlink" Target="https://www.sec.gov/cgi-bin/browse-edgar?CIK=1819608" TargetMode="External"/><Relationship Id="rId364" Type="http://schemas.openxmlformats.org/officeDocument/2006/relationships/hyperlink" Target="https://www.sec.gov/cgi-bin/browse-edgar?CIK=1842223" TargetMode="External"/><Relationship Id="rId95" Type="http://schemas.openxmlformats.org/officeDocument/2006/relationships/hyperlink" Target="https://www.sec.gov/cgi-bin/browse-edgar?CIK=1844840" TargetMode="External"/><Relationship Id="rId94" Type="http://schemas.openxmlformats.org/officeDocument/2006/relationships/hyperlink" Target="https://www.sec.gov/cgi-bin/browse-edgar?CIK=1835972" TargetMode="External"/><Relationship Id="rId97" Type="http://schemas.openxmlformats.org/officeDocument/2006/relationships/hyperlink" Target="https://www.sec.gov/cgi-bin/browse-edgar?CIK=1808805" TargetMode="External"/><Relationship Id="rId96" Type="http://schemas.openxmlformats.org/officeDocument/2006/relationships/hyperlink" Target="https://www.sec.gov/cgi-bin/browse-edgar?CIK=1839990" TargetMode="External"/><Relationship Id="rId99" Type="http://schemas.openxmlformats.org/officeDocument/2006/relationships/hyperlink" Target="https://www.sec.gov/Archives/edgar/data/1808805/000114036121003650/brhc10019858_ex99-2.htm" TargetMode="External"/><Relationship Id="rId98" Type="http://schemas.openxmlformats.org/officeDocument/2006/relationships/hyperlink" Target="https://www.businesswire.com/news/home/20210208005194/en/Next-Gen-Proteomics-Company-Nautilus-Biotechnology-to-List-on-Nasdaq-Through-Merger-with-Arya-Sciences-Acquisition-Corp-III" TargetMode="External"/><Relationship Id="rId91" Type="http://schemas.openxmlformats.org/officeDocument/2006/relationships/hyperlink" Target="https://www.sec.gov/Archives/edgar/data/1777921/000121390020038638/ea130364ex99-2_apextech.htm" TargetMode="External"/><Relationship Id="rId90" Type="http://schemas.openxmlformats.org/officeDocument/2006/relationships/hyperlink" Target="https://www.businesswire.com/news/home/20201123005590/en/AvePoint-the-Largest-Microsoft-365-Data-Management-Solutions-Provider-Announces-2bn-Merger" TargetMode="External"/><Relationship Id="rId93" Type="http://schemas.openxmlformats.org/officeDocument/2006/relationships/hyperlink" Target="https://www.sec.gov/cgi-bin/browse-edgar?CIK=1843093" TargetMode="External"/><Relationship Id="rId92" Type="http://schemas.openxmlformats.org/officeDocument/2006/relationships/hyperlink" Target="https://www.sec.gov/cgi-bin/browse-edgar?CIK=1823826" TargetMode="External"/><Relationship Id="rId118" Type="http://schemas.openxmlformats.org/officeDocument/2006/relationships/hyperlink" Target="https://www.sec.gov/cgi-bin/browse-edgar?CIK=1835856" TargetMode="External"/><Relationship Id="rId117" Type="http://schemas.openxmlformats.org/officeDocument/2006/relationships/hyperlink" Target="https://www.sec.gov/cgi-bin/browse-edgar?CIK=1844940" TargetMode="External"/><Relationship Id="rId359" Type="http://schemas.openxmlformats.org/officeDocument/2006/relationships/hyperlink" Target="https://www.sec.gov/cgi-bin/browse-edgar?CIK=1822219" TargetMode="External"/><Relationship Id="rId116" Type="http://schemas.openxmlformats.org/officeDocument/2006/relationships/hyperlink" Target="https://www.sec.gov/cgi-bin/browse-edgar?CIK=1831874" TargetMode="External"/><Relationship Id="rId358" Type="http://schemas.openxmlformats.org/officeDocument/2006/relationships/hyperlink" Target="https://www.sec.gov/cgi-bin/browse-edgar?CIK=1844650" TargetMode="External"/><Relationship Id="rId115" Type="http://schemas.openxmlformats.org/officeDocument/2006/relationships/hyperlink" Target="https://www.sec.gov/cgi-bin/browse-edgar?CIK=1840856" TargetMode="External"/><Relationship Id="rId357" Type="http://schemas.openxmlformats.org/officeDocument/2006/relationships/hyperlink" Target="https://www.sec.gov/cgi-bin/browse-edgar?CIK=1844969" TargetMode="External"/><Relationship Id="rId599" Type="http://schemas.openxmlformats.org/officeDocument/2006/relationships/hyperlink" Target="https://www.sec.gov/cgi-bin/browse-edgar?CIK=1851991" TargetMode="External"/><Relationship Id="rId119" Type="http://schemas.openxmlformats.org/officeDocument/2006/relationships/hyperlink" Target="https://www.sec.gov/cgi-bin/browse-edgar?CIK=1849006" TargetMode="External"/><Relationship Id="rId110" Type="http://schemas.openxmlformats.org/officeDocument/2006/relationships/hyperlink" Target="https://t.co/oIoytBIfDX?amp=1" TargetMode="External"/><Relationship Id="rId352" Type="http://schemas.openxmlformats.org/officeDocument/2006/relationships/hyperlink" Target="https://www.businesswire.com/news/home/20201211005138/en/EV-Company-Electric-Last-Mile-to-List-on-Nasdaq-Through-Merger-With-Forum-Merger-III-Corporation" TargetMode="External"/><Relationship Id="rId594" Type="http://schemas.openxmlformats.org/officeDocument/2006/relationships/hyperlink" Target="https://www.sec.gov/Archives/edgar/data/1822492/000110465921006849/tm213996d3_ex99-2.htm" TargetMode="External"/><Relationship Id="rId351" Type="http://schemas.openxmlformats.org/officeDocument/2006/relationships/hyperlink" Target="https://www.sec.gov/cgi-bin/browse-edgar?CIK=1784168" TargetMode="External"/><Relationship Id="rId593" Type="http://schemas.openxmlformats.org/officeDocument/2006/relationships/hyperlink" Target="https://www.globenewswire.com/news-release/2021/01/25/2163346/0/en/THE-HILLMAN-GROUP-A-LEADING-VALUE-ADDED-SPECIALTY-DISTRIBUTOR-OF-HARDWARE-AND-HOME-IMPROVEMENT-PRODUCTS-TO-BECOME-PUBLIC-COMPANY.html" TargetMode="External"/><Relationship Id="rId350" Type="http://schemas.openxmlformats.org/officeDocument/2006/relationships/hyperlink" Target="https://www.sec.gov/cgi-bin/browse-edgar?CIK=1844364" TargetMode="External"/><Relationship Id="rId592" Type="http://schemas.openxmlformats.org/officeDocument/2006/relationships/hyperlink" Target="https://www.sec.gov/cgi-bin/browse-edgar?CIK=1822492" TargetMode="External"/><Relationship Id="rId591" Type="http://schemas.openxmlformats.org/officeDocument/2006/relationships/hyperlink" Target="https://www.sec.gov/cgi-bin/browse-edgar?CIK=1847577" TargetMode="External"/><Relationship Id="rId114" Type="http://schemas.openxmlformats.org/officeDocument/2006/relationships/hyperlink" Target="https://www.sec.gov/cgi-bin/browse-edgar?CIK=1836176" TargetMode="External"/><Relationship Id="rId356" Type="http://schemas.openxmlformats.org/officeDocument/2006/relationships/hyperlink" Target="https://www.sec.gov/cgi-bin/browse-edgar?CIK=1831481" TargetMode="External"/><Relationship Id="rId598" Type="http://schemas.openxmlformats.org/officeDocument/2006/relationships/hyperlink" Target="https://www.sec.gov/cgi-bin/browse-edgar?CIK=1820272" TargetMode="External"/><Relationship Id="rId113" Type="http://schemas.openxmlformats.org/officeDocument/2006/relationships/hyperlink" Target="https://www.sec.gov/cgi-bin/browse-edgar?CIK=1840292" TargetMode="External"/><Relationship Id="rId355" Type="http://schemas.openxmlformats.org/officeDocument/2006/relationships/hyperlink" Target="https://www.sec.gov/cgi-bin/browse-edgar?CIK=1828326" TargetMode="External"/><Relationship Id="rId597" Type="http://schemas.openxmlformats.org/officeDocument/2006/relationships/hyperlink" Target="https://www.sec.gov/cgi-bin/browse-edgar?CIK=1834628" TargetMode="External"/><Relationship Id="rId112" Type="http://schemas.openxmlformats.org/officeDocument/2006/relationships/hyperlink" Target="https://www.sec.gov/cgi-bin/browse-edgar?CIK=1841004" TargetMode="External"/><Relationship Id="rId354" Type="http://schemas.openxmlformats.org/officeDocument/2006/relationships/hyperlink" Target="https://www.sec.gov/cgi-bin/browse-edgar?CIK=1823855" TargetMode="External"/><Relationship Id="rId596" Type="http://schemas.openxmlformats.org/officeDocument/2006/relationships/hyperlink" Target="https://www.sec.gov/cgi-bin/browse-edgar?CIK=1818346" TargetMode="External"/><Relationship Id="rId111" Type="http://schemas.openxmlformats.org/officeDocument/2006/relationships/hyperlink" Target="https://www.sec.gov/Archives/edgar/data/1823945/000119312520325370/d55795dex993.htm" TargetMode="External"/><Relationship Id="rId353" Type="http://schemas.openxmlformats.org/officeDocument/2006/relationships/hyperlink" Target="https://www.sec.gov/Archives/edgar/data/1784168/000121390020042148/ea131352ex99-2_forum3.htm" TargetMode="External"/><Relationship Id="rId595" Type="http://schemas.openxmlformats.org/officeDocument/2006/relationships/hyperlink" Target="https://www.sec.gov/cgi-bin/browse-edgar?CIK=1842373" TargetMode="External"/><Relationship Id="rId305" Type="http://schemas.openxmlformats.org/officeDocument/2006/relationships/hyperlink" Target="https://www.sec.gov/cgi-bin/browse-edgar?CIK=1817232" TargetMode="External"/><Relationship Id="rId547" Type="http://schemas.openxmlformats.org/officeDocument/2006/relationships/hyperlink" Target="https://www.sec.gov/cgi-bin/browse-edgar?CIK=1846189" TargetMode="External"/><Relationship Id="rId789" Type="http://schemas.openxmlformats.org/officeDocument/2006/relationships/hyperlink" Target="https://www.sec.gov/cgi-bin/browse-edgar?CIK=1846348" TargetMode="External"/><Relationship Id="rId304" Type="http://schemas.openxmlformats.org/officeDocument/2006/relationships/hyperlink" Target="https://www.sec.gov/cgi-bin/browse-edgar?CIK=1839998" TargetMode="External"/><Relationship Id="rId546" Type="http://schemas.openxmlformats.org/officeDocument/2006/relationships/hyperlink" Target="https://www.sec.gov/cgi-bin/browse-edgar?CIK=1845123" TargetMode="External"/><Relationship Id="rId788" Type="http://schemas.openxmlformats.org/officeDocument/2006/relationships/hyperlink" Target="https://www.sec.gov/cgi-bin/browse-edgar?CIK=1841389" TargetMode="External"/><Relationship Id="rId303" Type="http://schemas.openxmlformats.org/officeDocument/2006/relationships/hyperlink" Target="https://www.sec.gov/cgi-bin/browse-edgar?CIK=1848694" TargetMode="External"/><Relationship Id="rId545" Type="http://schemas.openxmlformats.org/officeDocument/2006/relationships/hyperlink" Target="https://www.sec.gov/cgi-bin/browse-edgar?CIK=1819142" TargetMode="External"/><Relationship Id="rId787" Type="http://schemas.openxmlformats.org/officeDocument/2006/relationships/hyperlink" Target="https://www.sec.gov/cgi-bin/browse-edgar?CIK=1849840" TargetMode="External"/><Relationship Id="rId302" Type="http://schemas.openxmlformats.org/officeDocument/2006/relationships/hyperlink" Target="https://www.sec.gov/cgi-bin/browse-edgar?CIK=1823466" TargetMode="External"/><Relationship Id="rId544" Type="http://schemas.openxmlformats.org/officeDocument/2006/relationships/hyperlink" Target="https://www.sec.gov/cgi-bin/browse-edgar?CIK=1805508" TargetMode="External"/><Relationship Id="rId786" Type="http://schemas.openxmlformats.org/officeDocument/2006/relationships/hyperlink" Target="https://www.sec.gov/cgi-bin/browse-edgar?CIK=1833498" TargetMode="External"/><Relationship Id="rId309" Type="http://schemas.openxmlformats.org/officeDocument/2006/relationships/hyperlink" Target="https://www.sec.gov/cgi-bin/browse-edgar?CIK=1817153" TargetMode="External"/><Relationship Id="rId308" Type="http://schemas.openxmlformats.org/officeDocument/2006/relationships/hyperlink" Target="https://www.sec.gov/cgi-bin/browse-edgar?CIK=1841258" TargetMode="External"/><Relationship Id="rId307" Type="http://schemas.openxmlformats.org/officeDocument/2006/relationships/hyperlink" Target="https://www.sec.gov/cgi-bin/browse-edgar?CIK=1832765" TargetMode="External"/><Relationship Id="rId549" Type="http://schemas.openxmlformats.org/officeDocument/2006/relationships/hyperlink" Target="https://www.sec.gov/cgi-bin/browse-edgar?CIK=1817868" TargetMode="External"/><Relationship Id="rId306" Type="http://schemas.openxmlformats.org/officeDocument/2006/relationships/hyperlink" Target="https://www.sec.gov/cgi-bin/browse-edgar?CIK=1812360" TargetMode="External"/><Relationship Id="rId548" Type="http://schemas.openxmlformats.org/officeDocument/2006/relationships/hyperlink" Target="https://www.sec.gov/cgi-bin/browse-edgar?CIK=1847280" TargetMode="External"/><Relationship Id="rId781" Type="http://schemas.openxmlformats.org/officeDocument/2006/relationships/hyperlink" Target="https://www.sec.gov/cgi-bin/browse-edgar?CIK=1845184" TargetMode="External"/><Relationship Id="rId780" Type="http://schemas.openxmlformats.org/officeDocument/2006/relationships/hyperlink" Target="https://www.sec.gov/cgi-bin/browse-edgar?CIK=1819724" TargetMode="External"/><Relationship Id="rId301" Type="http://schemas.openxmlformats.org/officeDocument/2006/relationships/hyperlink" Target="https://www.sec.gov/cgi-bin/browse-edgar?CIK=1847573" TargetMode="External"/><Relationship Id="rId543" Type="http://schemas.openxmlformats.org/officeDocument/2006/relationships/hyperlink" Target="https://www.sec.gov/cgi-bin/browse-edgar?CIK=1828852" TargetMode="External"/><Relationship Id="rId785" Type="http://schemas.openxmlformats.org/officeDocument/2006/relationships/hyperlink" Target="https://www.sec.gov/cgi-bin/browse-edgar?CIK=1817786" TargetMode="External"/><Relationship Id="rId300" Type="http://schemas.openxmlformats.org/officeDocument/2006/relationships/hyperlink" Target="https://www.sec.gov/cgi-bin/browse-edgar?CIK=1830374" TargetMode="External"/><Relationship Id="rId542" Type="http://schemas.openxmlformats.org/officeDocument/2006/relationships/hyperlink" Target="https://www.sec.gov/cgi-bin/browse-edgar?CIK=1841586" TargetMode="External"/><Relationship Id="rId784" Type="http://schemas.openxmlformats.org/officeDocument/2006/relationships/hyperlink" Target="https://www.sec.gov/cgi-bin/browse-edgar?CIK=1849801" TargetMode="External"/><Relationship Id="rId541" Type="http://schemas.openxmlformats.org/officeDocument/2006/relationships/hyperlink" Target="https://www.sec.gov/Archives/edgar/data/1816696/000121390021016440/ea137987ex99-1_industrial.htm" TargetMode="External"/><Relationship Id="rId783" Type="http://schemas.openxmlformats.org/officeDocument/2006/relationships/hyperlink" Target="https://www.sec.gov/cgi-bin/browse-edgar?CIK=1815184" TargetMode="External"/><Relationship Id="rId540" Type="http://schemas.openxmlformats.org/officeDocument/2006/relationships/hyperlink" Target="https://www.prnewswire.com/news-releases/arbe-robotics-ltd-a-global-leader-in-high-resolution-4d-imaging-radar-technology-expected-to-list-on-the-nasdaq-through-a-business-combination-with-industrial-tech-acquisitions-inc-301250582.html" TargetMode="External"/><Relationship Id="rId782" Type="http://schemas.openxmlformats.org/officeDocument/2006/relationships/hyperlink" Target="https://www.sec.gov/cgi-bin/browse-edgar?CIK=1841867" TargetMode="External"/><Relationship Id="rId536" Type="http://schemas.openxmlformats.org/officeDocument/2006/relationships/hyperlink" Target="https://www.sec.gov/cgi-bin/browse-edgar?CIK=1851833" TargetMode="External"/><Relationship Id="rId778" Type="http://schemas.openxmlformats.org/officeDocument/2006/relationships/hyperlink" Target="https://www.globenewswire.com/news-release/2021/03/15/2192554/0/en/Next-generation-Radiopharmaceuticals-Company-POINT-Biopharma-to-list-on-NASDAQ-through-merger-with-Research-Alliance-Corp-I.html" TargetMode="External"/><Relationship Id="rId535" Type="http://schemas.openxmlformats.org/officeDocument/2006/relationships/hyperlink" Target="https://www.sec.gov/cgi-bin/browse-edgar?CIK=1845601" TargetMode="External"/><Relationship Id="rId777" Type="http://schemas.openxmlformats.org/officeDocument/2006/relationships/hyperlink" Target="https://www.sec.gov/cgi-bin/browse-edgar?CIK=1811764" TargetMode="External"/><Relationship Id="rId534" Type="http://schemas.openxmlformats.org/officeDocument/2006/relationships/hyperlink" Target="https://www.sec.gov/cgi-bin/browse-edgar?CIK=1839611" TargetMode="External"/><Relationship Id="rId776" Type="http://schemas.openxmlformats.org/officeDocument/2006/relationships/hyperlink" Target="https://www.sec.gov/Archives/edgar/data/1824734/000121390021011268/ea136272ex99-2_revolution.htm" TargetMode="External"/><Relationship Id="rId533" Type="http://schemas.openxmlformats.org/officeDocument/2006/relationships/hyperlink" Target="https://www.sec.gov/cgi-bin/browse-edgar?CIK=1839610" TargetMode="External"/><Relationship Id="rId775" Type="http://schemas.openxmlformats.org/officeDocument/2006/relationships/hyperlink" Target="https://www.businesswire.com/news/home/20210224005491/en/Berkshire-Grey-a-Leader-in-AI-Enabled-Robotics-and-Automation-Solutions-Announces-Business-Combination-with-Revolution-Acceleration-Acquisition-Corp" TargetMode="External"/><Relationship Id="rId539" Type="http://schemas.openxmlformats.org/officeDocument/2006/relationships/hyperlink" Target="https://www.sec.gov/cgi-bin/browse-edgar?CIK=1816696" TargetMode="External"/><Relationship Id="rId538" Type="http://schemas.openxmlformats.org/officeDocument/2006/relationships/hyperlink" Target="https://www.sec.gov/cgi-bin/browse-edgar?CIK=1840572" TargetMode="External"/><Relationship Id="rId537" Type="http://schemas.openxmlformats.org/officeDocument/2006/relationships/hyperlink" Target="https://www.sec.gov/cgi-bin/browse-edgar?CIK=1837997" TargetMode="External"/><Relationship Id="rId779" Type="http://schemas.openxmlformats.org/officeDocument/2006/relationships/hyperlink" Target="https://www.sec.gov/Archives/edgar/data/1811764/000110465921035891/tm219698d1_ex99-2.htm" TargetMode="External"/><Relationship Id="rId770" Type="http://schemas.openxmlformats.org/officeDocument/2006/relationships/hyperlink" Target="https://www.sec.gov/cgi-bin/browse-edgar?CIK=1830795" TargetMode="External"/><Relationship Id="rId532" Type="http://schemas.openxmlformats.org/officeDocument/2006/relationships/hyperlink" Target="https://www.sec.gov/cgi-bin/browse-edgar?CIK=1839608" TargetMode="External"/><Relationship Id="rId774" Type="http://schemas.openxmlformats.org/officeDocument/2006/relationships/hyperlink" Target="https://www.sec.gov/cgi-bin/browse-edgar?CIK=1824734" TargetMode="External"/><Relationship Id="rId531" Type="http://schemas.openxmlformats.org/officeDocument/2006/relationships/hyperlink" Target="https://www.sec.gov/cgi-bin/browse-edgar?CIK=1818873" TargetMode="External"/><Relationship Id="rId773" Type="http://schemas.openxmlformats.org/officeDocument/2006/relationships/hyperlink" Target="https://www.sec.gov/cgi-bin/browse-edgar?CIK=1844934" TargetMode="External"/><Relationship Id="rId530" Type="http://schemas.openxmlformats.org/officeDocument/2006/relationships/hyperlink" Target="https://www.sec.gov/Archives/edgar/data/1818874/000110465921001951/tm211973d1_ex99-2.htm" TargetMode="External"/><Relationship Id="rId772" Type="http://schemas.openxmlformats.org/officeDocument/2006/relationships/hyperlink" Target="https://www.sec.gov/cgi-bin/browse-edgar?CIK=1850047" TargetMode="External"/><Relationship Id="rId771" Type="http://schemas.openxmlformats.org/officeDocument/2006/relationships/hyperlink" Target="https://www.sec.gov/cgi-bin/browse-edgar?CIK=1841593" TargetMode="External"/><Relationship Id="rId327" Type="http://schemas.openxmlformats.org/officeDocument/2006/relationships/hyperlink" Target="https://www.globenewswire.com/news-release/2021/02/18/2178086/0/en/East-Stone-Acquisition-Corporation-Announces-Business-Combination-with-JHD-Holdings-Cayman-Limited-an-Innovative-Merchant-Enablement-Platform-in-Lower-Tier-Cities-in-China.html" TargetMode="External"/><Relationship Id="rId569" Type="http://schemas.openxmlformats.org/officeDocument/2006/relationships/hyperlink" Target="https://www.sec.gov/cgi-bin/browse-edgar?CIK=1823323" TargetMode="External"/><Relationship Id="rId326" Type="http://schemas.openxmlformats.org/officeDocument/2006/relationships/hyperlink" Target="https://www.sec.gov/cgi-bin/browse-edgar?CIK=1760683" TargetMode="External"/><Relationship Id="rId568" Type="http://schemas.openxmlformats.org/officeDocument/2006/relationships/hyperlink" Target="https://www.sec.gov/cgi-bin/browse-edgar?CIK=1820875" TargetMode="External"/><Relationship Id="rId325" Type="http://schemas.openxmlformats.org/officeDocument/2006/relationships/hyperlink" Target="https://www.sec.gov/cgi-bin/browse-edgar?CIK=1841420" TargetMode="External"/><Relationship Id="rId567" Type="http://schemas.openxmlformats.org/officeDocument/2006/relationships/hyperlink" Target="https://www.sec.gov/cgi-bin/browse-edgar?CIK=1826059" TargetMode="External"/><Relationship Id="rId324" Type="http://schemas.openxmlformats.org/officeDocument/2006/relationships/hyperlink" Target="https://www.sec.gov/cgi-bin/browse-edgar?CIK=1814287" TargetMode="External"/><Relationship Id="rId566" Type="http://schemas.openxmlformats.org/officeDocument/2006/relationships/hyperlink" Target="https://www.sec.gov/cgi-bin/browse-edgar?CIK=1843412" TargetMode="External"/><Relationship Id="rId329" Type="http://schemas.openxmlformats.org/officeDocument/2006/relationships/hyperlink" Target="https://www.sec.gov/cgi-bin/browse-edgar?CIK=1829237" TargetMode="External"/><Relationship Id="rId328" Type="http://schemas.openxmlformats.org/officeDocument/2006/relationships/hyperlink" Target="https://www.sec.gov/Archives/edgar/data/1760683/000121390021010227/ea135945ex99-2_eaststone.htm" TargetMode="External"/><Relationship Id="rId561" Type="http://schemas.openxmlformats.org/officeDocument/2006/relationships/hyperlink" Target="https://www.sec.gov/cgi-bin/browse-edgar?CIK=1824119" TargetMode="External"/><Relationship Id="rId560" Type="http://schemas.openxmlformats.org/officeDocument/2006/relationships/hyperlink" Target="https://www.sec.gov/cgi-bin/browse-edgar?CIK=1831359" TargetMode="External"/><Relationship Id="rId323" Type="http://schemas.openxmlformats.org/officeDocument/2006/relationships/hyperlink" Target="https://www.sec.gov/cgi-bin/browse-edgar?CIK=1826729" TargetMode="External"/><Relationship Id="rId565" Type="http://schemas.openxmlformats.org/officeDocument/2006/relationships/hyperlink" Target="https://www.sec.gov/cgi-bin/browse-edgar?CIK=1841304" TargetMode="External"/><Relationship Id="rId322" Type="http://schemas.openxmlformats.org/officeDocument/2006/relationships/hyperlink" Target="https://www.sec.gov/cgi-bin/browse-edgar?CIK=1818221" TargetMode="External"/><Relationship Id="rId564" Type="http://schemas.openxmlformats.org/officeDocument/2006/relationships/hyperlink" Target="https://www.sec.gov/cgi-bin/browse-edgar?CIK=1824171" TargetMode="External"/><Relationship Id="rId321" Type="http://schemas.openxmlformats.org/officeDocument/2006/relationships/hyperlink" Target="https://www.sec.gov/cgi-bin/browse-edgar?CIK=1825720" TargetMode="External"/><Relationship Id="rId563" Type="http://schemas.openxmlformats.org/officeDocument/2006/relationships/hyperlink" Target="https://www.sec.gov/cgi-bin/browse-edgar?CIK=1825962" TargetMode="External"/><Relationship Id="rId320" Type="http://schemas.openxmlformats.org/officeDocument/2006/relationships/hyperlink" Target="https://www.sec.gov/cgi-bin/browse-edgar?CIK=1827248" TargetMode="External"/><Relationship Id="rId562" Type="http://schemas.openxmlformats.org/officeDocument/2006/relationships/hyperlink" Target="https://www.sec.gov/cgi-bin/browse-edgar?CIK=1843212" TargetMode="External"/><Relationship Id="rId316" Type="http://schemas.openxmlformats.org/officeDocument/2006/relationships/hyperlink" Target="https://www.sec.gov/cgi-bin/browse-edgar?CIK=1828972" TargetMode="External"/><Relationship Id="rId558" Type="http://schemas.openxmlformats.org/officeDocument/2006/relationships/hyperlink" Target="https://www.prnewswire.com/news-releases/cano-health-a-leading-value-based-care-delivery-platform-for-seniors-to-become-publicly-traded-via-merger-with-jaws-acquisition-corp-301171741.html" TargetMode="External"/><Relationship Id="rId315" Type="http://schemas.openxmlformats.org/officeDocument/2006/relationships/hyperlink" Target="https://www.sec.gov/Archives/edgar/data/0001822928/000121390021015000/ea137482ex99-2_empower.htm" TargetMode="External"/><Relationship Id="rId557" Type="http://schemas.openxmlformats.org/officeDocument/2006/relationships/hyperlink" Target="https://www.sec.gov/cgi-bin/browse-edgar?CIK=1800682" TargetMode="External"/><Relationship Id="rId799" Type="http://schemas.openxmlformats.org/officeDocument/2006/relationships/hyperlink" Target="https://www.sec.gov/cgi-bin/browse-edgar?CIK=1847455" TargetMode="External"/><Relationship Id="rId314" Type="http://schemas.openxmlformats.org/officeDocument/2006/relationships/hyperlink" Target="https://www.businesswire.com/news/home/20210312005202/en/Holley-the-Largest-Performance-Automotive-Aftermarket-Platform-to-Become-Public-Company" TargetMode="External"/><Relationship Id="rId556" Type="http://schemas.openxmlformats.org/officeDocument/2006/relationships/hyperlink" Target="https://www.sec.gov/cgi-bin/browse-edgar?CIK=1838814" TargetMode="External"/><Relationship Id="rId798" Type="http://schemas.openxmlformats.org/officeDocument/2006/relationships/hyperlink" Target="https://www.sec.gov/cgi-bin/browse-edgar?CIK=1838108" TargetMode="External"/><Relationship Id="rId313" Type="http://schemas.openxmlformats.org/officeDocument/2006/relationships/hyperlink" Target="https://www.sec.gov/cgi-bin/browse-edgar?CIK=1822928" TargetMode="External"/><Relationship Id="rId555" Type="http://schemas.openxmlformats.org/officeDocument/2006/relationships/hyperlink" Target="https://www.sec.gov/cgi-bin/browse-edgar?CIK=1842609" TargetMode="External"/><Relationship Id="rId797" Type="http://schemas.openxmlformats.org/officeDocument/2006/relationships/hyperlink" Target="https://www.sec.gov/Archives/edgar/data/1820143/000119312521053301/d102219dex993.htm" TargetMode="External"/><Relationship Id="rId319" Type="http://schemas.openxmlformats.org/officeDocument/2006/relationships/hyperlink" Target="https://www.sec.gov/cgi-bin/browse-edgar?CIK=1822691" TargetMode="External"/><Relationship Id="rId318" Type="http://schemas.openxmlformats.org/officeDocument/2006/relationships/hyperlink" Target="https://www.sec.gov/cgi-bin/browse-edgar?CIK=1816261" TargetMode="External"/><Relationship Id="rId317" Type="http://schemas.openxmlformats.org/officeDocument/2006/relationships/hyperlink" Target="https://www.sec.gov/cgi-bin/browse-edgar?CIK=1832351" TargetMode="External"/><Relationship Id="rId559" Type="http://schemas.openxmlformats.org/officeDocument/2006/relationships/hyperlink" Target="https://www.sec.gov/Archives/edgar/data/1800682/000110465920124050/tm2035668d1_ex99-2.htm" TargetMode="External"/><Relationship Id="rId550" Type="http://schemas.openxmlformats.org/officeDocument/2006/relationships/hyperlink" Target="https://www.sec.gov/cgi-bin/browse-edgar?CIK=1822312" TargetMode="External"/><Relationship Id="rId792" Type="http://schemas.openxmlformats.org/officeDocument/2006/relationships/hyperlink" Target="https://ricespac.com/wp-content/uploads/2021/04/Archaea-PIPE-Presentation_04062021_10AMET.pdf" TargetMode="External"/><Relationship Id="rId791" Type="http://schemas.openxmlformats.org/officeDocument/2006/relationships/hyperlink" Target="https://www.businesswire.com/news/home/20210407006030/en/Rice-Acquisition-Corp.-to-Combine-Aria-Energy-and-Archaea-Energy-into-the-Industry-Leading-Renewable-Natural-Gas-Platform" TargetMode="External"/><Relationship Id="rId790" Type="http://schemas.openxmlformats.org/officeDocument/2006/relationships/hyperlink" Target="https://www.sec.gov/cgi-bin/browse-edgar?CIK=1823766" TargetMode="External"/><Relationship Id="rId312" Type="http://schemas.openxmlformats.org/officeDocument/2006/relationships/hyperlink" Target="https://www.sec.gov/cgi-bin/browse-edgar?CIK=1839434" TargetMode="External"/><Relationship Id="rId554" Type="http://schemas.openxmlformats.org/officeDocument/2006/relationships/hyperlink" Target="https://www.sec.gov/cgi-bin/browse-edgar?CIK=1824149" TargetMode="External"/><Relationship Id="rId796" Type="http://schemas.openxmlformats.org/officeDocument/2006/relationships/hyperlink" Target="https://www.businesswire.com/news/home/20210224005431/en/ReNew-Power-India%E2%80%99s-Leading-Renewable-Energy-Company%C2%A0to-Publicly-List-through-Business-Combination-with-RMG-Acquisition-Corporation-II-in-8-Billion-Transaction" TargetMode="External"/><Relationship Id="rId311" Type="http://schemas.openxmlformats.org/officeDocument/2006/relationships/hyperlink" Target="https://www.sec.gov/cgi-bin/browse-edgar?CIK=1849687" TargetMode="External"/><Relationship Id="rId553" Type="http://schemas.openxmlformats.org/officeDocument/2006/relationships/hyperlink" Target="https://static1.squarespace.com/static/5da5d5a8874e8c5ee9565de2/t/5fe159e825b6576954770526/1608604140010/Janus_Investor+Presentation_December+2020.pdf" TargetMode="External"/><Relationship Id="rId795" Type="http://schemas.openxmlformats.org/officeDocument/2006/relationships/hyperlink" Target="https://www.sec.gov/cgi-bin/browse-edgar?CIK=1820143" TargetMode="External"/><Relationship Id="rId310" Type="http://schemas.openxmlformats.org/officeDocument/2006/relationships/hyperlink" Target="https://www.sec.gov/cgi-bin/browse-edgar?CIK=1843973" TargetMode="External"/><Relationship Id="rId552" Type="http://schemas.openxmlformats.org/officeDocument/2006/relationships/hyperlink" Target="https://www.businesswire.com/news/home/20201222005143/en/Clearlake-Portfolio-Company-Janus-International-to-List-on-New-York-Stock-Exchange-through-Business-Combination-with-Juniper-Industrial-Holdings" TargetMode="External"/><Relationship Id="rId794" Type="http://schemas.openxmlformats.org/officeDocument/2006/relationships/hyperlink" Target="https://www.sec.gov/cgi-bin/browse-edgar?CIK=1844363" TargetMode="External"/><Relationship Id="rId551" Type="http://schemas.openxmlformats.org/officeDocument/2006/relationships/hyperlink" Target="https://www.sec.gov/cgi-bin/browse-edgar?CIK=1787791" TargetMode="External"/><Relationship Id="rId793" Type="http://schemas.openxmlformats.org/officeDocument/2006/relationships/hyperlink" Target="https://www.sec.gov/cgi-bin/browse-edgar?CIK=1852495" TargetMode="External"/><Relationship Id="rId297" Type="http://schemas.openxmlformats.org/officeDocument/2006/relationships/hyperlink" Target="https://www.businesswire.com/news/home/20210308005321/en/IonQ-To-Become-The-First-Publicly-Traded-Pure-Play-Quantum-Computing-Company/?feedref=JjAwJuNHiystnCoBq_hl-YP0UCfaTS5iGFCz-Ed_Uxqqcp-o_pnudlUwsb5apQ1S4gUE65BTfjH3-pSuqdv0gW3cb3F4oTIgUqCPafFkgu7j7dd_xWveGuB-FIaWwfcR" TargetMode="External"/><Relationship Id="rId296" Type="http://schemas.openxmlformats.org/officeDocument/2006/relationships/hyperlink" Target="https://www.sec.gov/cgi-bin/browse-edgar?CIK=1824920" TargetMode="External"/><Relationship Id="rId295" Type="http://schemas.openxmlformats.org/officeDocument/2006/relationships/hyperlink" Target="https://www.sec.gov/Archives/edgar/data/1816101/000119312520277544/d54187dex992.htm" TargetMode="External"/><Relationship Id="rId294" Type="http://schemas.openxmlformats.org/officeDocument/2006/relationships/hyperlink" Target="https://www.prnewswire.com/news-releases/genius-sports-group-to-go-public-through-combination-with-nyse-listed-dmy-technology-group-ii-301160252.html" TargetMode="External"/><Relationship Id="rId299" Type="http://schemas.openxmlformats.org/officeDocument/2006/relationships/hyperlink" Target="https://www.sec.gov/cgi-bin/browse-edgar?CIK=1836833" TargetMode="External"/><Relationship Id="rId298" Type="http://schemas.openxmlformats.org/officeDocument/2006/relationships/hyperlink" Target="https://www.sec.gov/Archives/edgar/data/1824920/000119312521072373/d142872dex992.htm" TargetMode="External"/><Relationship Id="rId271" Type="http://schemas.openxmlformats.org/officeDocument/2006/relationships/hyperlink" Target="https://www.sec.gov/cgi-bin/browse-edgar?CIK=1813914" TargetMode="External"/><Relationship Id="rId270" Type="http://schemas.openxmlformats.org/officeDocument/2006/relationships/hyperlink" Target="https://www.sec.gov/cgi-bin/browse-edgar?CIK=1812173" TargetMode="External"/><Relationship Id="rId269" Type="http://schemas.openxmlformats.org/officeDocument/2006/relationships/hyperlink" Target="https://www.sec.gov/cgi-bin/browse-edgar?CIK=1828957" TargetMode="External"/><Relationship Id="rId264" Type="http://schemas.openxmlformats.org/officeDocument/2006/relationships/hyperlink" Target="https://www.sec.gov/Archives/edgar/data/1716583/000119312521033234/d109364dex993.htm" TargetMode="External"/><Relationship Id="rId263" Type="http://schemas.openxmlformats.org/officeDocument/2006/relationships/hyperlink" Target="https://www.prnewswire.com/news-releases/hyzon-motors-the-leading-hydrogen-fuel-cell-heavy-vehicle-company-announces-business-combination-with-decarbonization-plus-acquisition-corporation-combined-company-expected-to-be-listed-on-nasdaq-301224741.html" TargetMode="External"/><Relationship Id="rId262" Type="http://schemas.openxmlformats.org/officeDocument/2006/relationships/hyperlink" Target="https://www.sec.gov/cgi-bin/browse-edgar?CIK=1716583" TargetMode="External"/><Relationship Id="rId261" Type="http://schemas.openxmlformats.org/officeDocument/2006/relationships/hyperlink" Target="http://stamps.com/" TargetMode="External"/><Relationship Id="rId268" Type="http://schemas.openxmlformats.org/officeDocument/2006/relationships/hyperlink" Target="https://www.sec.gov/cgi-bin/browse-edgar?CIK=1836154" TargetMode="External"/><Relationship Id="rId267" Type="http://schemas.openxmlformats.org/officeDocument/2006/relationships/hyperlink" Target="http://stamps.com/" TargetMode="External"/><Relationship Id="rId266" Type="http://schemas.openxmlformats.org/officeDocument/2006/relationships/hyperlink" Target="https://www.sec.gov/cgi-bin/browse-edgar?CIK=1848959" TargetMode="External"/><Relationship Id="rId265" Type="http://schemas.openxmlformats.org/officeDocument/2006/relationships/hyperlink" Target="https://www.sec.gov/cgi-bin/browse-edgar?CIK=1844862" TargetMode="External"/><Relationship Id="rId260" Type="http://schemas.openxmlformats.org/officeDocument/2006/relationships/hyperlink" Target="https://www.sec.gov/cgi-bin/browse-edgar?CIK=1823144" TargetMode="External"/><Relationship Id="rId259" Type="http://schemas.openxmlformats.org/officeDocument/2006/relationships/hyperlink" Target="https://www.sec.gov/cgi-bin/browse-edgar?CIK=1828248" TargetMode="External"/><Relationship Id="rId258" Type="http://schemas.openxmlformats.org/officeDocument/2006/relationships/hyperlink" Target="https://www.sec.gov/cgi-bin/browse-edgar?CIK=1844513" TargetMode="External"/><Relationship Id="rId253" Type="http://schemas.openxmlformats.org/officeDocument/2006/relationships/hyperlink" Target="https://www.sec.gov/cgi-bin/browse-edgar?CIK=1834032" TargetMode="External"/><Relationship Id="rId495" Type="http://schemas.openxmlformats.org/officeDocument/2006/relationships/hyperlink" Target="https://www.sec.gov/cgi-bin/browse-edgar?CIK=1842556" TargetMode="External"/><Relationship Id="rId252" Type="http://schemas.openxmlformats.org/officeDocument/2006/relationships/hyperlink" Target="https://www.sec.gov/cgi-bin/browse-edgar?CIK=1844592" TargetMode="External"/><Relationship Id="rId494" Type="http://schemas.openxmlformats.org/officeDocument/2006/relationships/hyperlink" Target="https://www.sec.gov/cgi-bin/browse-edgar?CIK=1829042" TargetMode="External"/><Relationship Id="rId251" Type="http://schemas.openxmlformats.org/officeDocument/2006/relationships/hyperlink" Target="https://www.sec.gov/cgi-bin/browse-edgar?CIK=1844635" TargetMode="External"/><Relationship Id="rId493" Type="http://schemas.openxmlformats.org/officeDocument/2006/relationships/hyperlink" Target="https://www.sec.gov/cgi-bin/browse-edgar?CIK=1821586" TargetMode="External"/><Relationship Id="rId250" Type="http://schemas.openxmlformats.org/officeDocument/2006/relationships/hyperlink" Target="https://www.sec.gov/cgi-bin/browse-edgar?CIK=1849035" TargetMode="External"/><Relationship Id="rId492" Type="http://schemas.openxmlformats.org/officeDocument/2006/relationships/hyperlink" Target="https://www.sec.gov/cgi-bin/browse-edgar?CIK=1826814" TargetMode="External"/><Relationship Id="rId257" Type="http://schemas.openxmlformats.org/officeDocument/2006/relationships/hyperlink" Target="https://www.sec.gov/cgi-bin/browse-edgar?CIK=1823634" TargetMode="External"/><Relationship Id="rId499" Type="http://schemas.openxmlformats.org/officeDocument/2006/relationships/hyperlink" Target="https://www.sec.gov/cgi-bin/browse-edgar?CIK=1809353" TargetMode="External"/><Relationship Id="rId256" Type="http://schemas.openxmlformats.org/officeDocument/2006/relationships/hyperlink" Target="https://www.sec.gov/Archives/edgar/data/1824577/000119312521079862/d153292dex992.htm" TargetMode="External"/><Relationship Id="rId498" Type="http://schemas.openxmlformats.org/officeDocument/2006/relationships/hyperlink" Target="https://www.sec.gov/Archives/edgar/data/1814329/000121390021005957/ea134316ex99-2_holicity.htm" TargetMode="External"/><Relationship Id="rId255" Type="http://schemas.openxmlformats.org/officeDocument/2006/relationships/hyperlink" Target="https://www.businesswire.com/news/home/20210312005498/en/KORE-to-List-on-NYSE-through-Merger-with-Cerberus-Telecom-Acquisition-Corp." TargetMode="External"/><Relationship Id="rId497" Type="http://schemas.openxmlformats.org/officeDocument/2006/relationships/hyperlink" Target="http://businesswire.com/news/home/20210202005459/en/?s=09" TargetMode="External"/><Relationship Id="rId254" Type="http://schemas.openxmlformats.org/officeDocument/2006/relationships/hyperlink" Target="https://www.sec.gov/cgi-bin/browse-edgar?CIK=1824577" TargetMode="External"/><Relationship Id="rId496" Type="http://schemas.openxmlformats.org/officeDocument/2006/relationships/hyperlink" Target="https://www.sec.gov/cgi-bin/browse-edgar?CIK=1814329" TargetMode="External"/><Relationship Id="rId293" Type="http://schemas.openxmlformats.org/officeDocument/2006/relationships/hyperlink" Target="https://www.sec.gov/cgi-bin/browse-edgar?CIK=1816101" TargetMode="External"/><Relationship Id="rId292" Type="http://schemas.openxmlformats.org/officeDocument/2006/relationships/hyperlink" Target="https://www.sec.gov/cgi-bin/browse-edgar?CIK=1831928" TargetMode="External"/><Relationship Id="rId291" Type="http://schemas.openxmlformats.org/officeDocument/2006/relationships/hyperlink" Target="https://www.sec.gov/cgi-bin/browse-edgar?CIK=1849380" TargetMode="External"/><Relationship Id="rId290" Type="http://schemas.openxmlformats.org/officeDocument/2006/relationships/hyperlink" Target="https://www.sec.gov/cgi-bin/browse-edgar?CIK=1818605" TargetMode="External"/><Relationship Id="rId286" Type="http://schemas.openxmlformats.org/officeDocument/2006/relationships/hyperlink" Target="https://www.sec.gov/cgi-bin/browse-edgar?CIK=1830188" TargetMode="External"/><Relationship Id="rId285" Type="http://schemas.openxmlformats.org/officeDocument/2006/relationships/hyperlink" Target="https://www.sec.gov/cgi-bin/browse-edgar?CIK=1838163" TargetMode="External"/><Relationship Id="rId284" Type="http://schemas.openxmlformats.org/officeDocument/2006/relationships/hyperlink" Target="https://www.sec.gov/cgi-bin/browse-edgar?CIK=1838176" TargetMode="External"/><Relationship Id="rId283" Type="http://schemas.openxmlformats.org/officeDocument/2006/relationships/hyperlink" Target="https://www.sec.gov/cgi-bin/browse-edgar?CIK=1845168" TargetMode="External"/><Relationship Id="rId289" Type="http://schemas.openxmlformats.org/officeDocument/2006/relationships/hyperlink" Target="https://www.sec.gov/cgi-bin/browse-edgar?CIK=1838831" TargetMode="External"/><Relationship Id="rId288" Type="http://schemas.openxmlformats.org/officeDocument/2006/relationships/hyperlink" Target="https://www.sec.gov/cgi-bin/browse-edgar?CIK=1843608" TargetMode="External"/><Relationship Id="rId287" Type="http://schemas.openxmlformats.org/officeDocument/2006/relationships/hyperlink" Target="https://www.sec.gov/cgi-bin/browse-edgar?CIK=1848052" TargetMode="External"/><Relationship Id="rId282" Type="http://schemas.openxmlformats.org/officeDocument/2006/relationships/hyperlink" Target="https://www.sec.gov/cgi-bin/browse-edgar?CIK=1827076" TargetMode="External"/><Relationship Id="rId281" Type="http://schemas.openxmlformats.org/officeDocument/2006/relationships/hyperlink" Target="https://www.sec.gov/cgi-bin/browse-edgar?CIK=1827075" TargetMode="External"/><Relationship Id="rId280" Type="http://schemas.openxmlformats.org/officeDocument/2006/relationships/hyperlink" Target="https://www.sec.gov/Archives/edgar/data/1818201/000119312521026659/d101043dex992.htm" TargetMode="External"/><Relationship Id="rId275" Type="http://schemas.openxmlformats.org/officeDocument/2006/relationships/hyperlink" Target="https://www.businesswire.com/news/home/20210315005346/en/IronNet-Cybersecurity-the-Leader-in-Collective-Defense-and-Network-Detection-and-Response-NDR-to-Be-Listed-on-NYSE-Through-a-Merger-With-LGL-Systems-Acquisition-Corp" TargetMode="External"/><Relationship Id="rId274" Type="http://schemas.openxmlformats.org/officeDocument/2006/relationships/hyperlink" Target="https://www.sec.gov/cgi-bin/browse-edgar?CIK=1777946" TargetMode="External"/><Relationship Id="rId273" Type="http://schemas.openxmlformats.org/officeDocument/2006/relationships/hyperlink" Target="https://www.sec.gov/Archives/edgar/data/1813914/000110465920137291/tm2038824d1_ex99-2.htm" TargetMode="External"/><Relationship Id="rId272" Type="http://schemas.openxmlformats.org/officeDocument/2006/relationships/hyperlink" Target="https://www.businesswire.com/news/home/20201218005517/en/" TargetMode="External"/><Relationship Id="rId279" Type="http://schemas.openxmlformats.org/officeDocument/2006/relationships/hyperlink" Target="https://www.businesswire.com/news/home/20210203005331/en/CCC-Information-Services-Inc.-and-Dragoneer-Growth-Opportunities-Corp.-Announce-Business-Combination-Creating-Publicly-Listed-Leader-Accelerating-the-Digital-Transformation-of-the-PC-Insurance-Economy" TargetMode="External"/><Relationship Id="rId278" Type="http://schemas.openxmlformats.org/officeDocument/2006/relationships/hyperlink" Target="https://www.sec.gov/cgi-bin/browse-edgar?CIK=1818201" TargetMode="External"/><Relationship Id="rId277" Type="http://schemas.openxmlformats.org/officeDocument/2006/relationships/hyperlink" Target="https://www.sec.gov/cgi-bin/browse-edgar?CIK=1799191" TargetMode="External"/><Relationship Id="rId276" Type="http://schemas.openxmlformats.org/officeDocument/2006/relationships/hyperlink" Target="https://www.sec.gov/Archives/edgar/data/1777946/000121390021015433/ea137631ex99-3_lglsystems.htm" TargetMode="External"/><Relationship Id="rId907" Type="http://schemas.openxmlformats.org/officeDocument/2006/relationships/hyperlink" Target="https://www.sec.gov/Archives/edgar/data/1794905/000110465921025980/tm217463d1_ex99-2.htm" TargetMode="External"/><Relationship Id="rId906" Type="http://schemas.openxmlformats.org/officeDocument/2006/relationships/hyperlink" Target="https://www.businesswire.com/news/home/20210222005413/en/Cyxtera-Agrees-to-Merge-With-Publicly-Listed-Starboard-Value-Acquisition-Corp.-in-3.4-Billion-Transaction" TargetMode="External"/><Relationship Id="rId905" Type="http://schemas.openxmlformats.org/officeDocument/2006/relationships/hyperlink" Target="https://www.sec.gov/cgi-bin/browse-edgar?CIK=1794905" TargetMode="External"/><Relationship Id="rId904" Type="http://schemas.openxmlformats.org/officeDocument/2006/relationships/hyperlink" Target="https://www.sec.gov/Archives/edgar/data/1822966/000110465921042008/tm2110955d1_ex99-3.htm" TargetMode="External"/><Relationship Id="rId909" Type="http://schemas.openxmlformats.org/officeDocument/2006/relationships/hyperlink" Target="https://www.sec.gov/cgi-bin/browse-edgar?CIK=1837238" TargetMode="External"/><Relationship Id="rId908" Type="http://schemas.openxmlformats.org/officeDocument/2006/relationships/hyperlink" Target="https://www.sec.gov/cgi-bin/browse-edgar?CIK=1828478" TargetMode="External"/><Relationship Id="rId903" Type="http://schemas.openxmlformats.org/officeDocument/2006/relationships/hyperlink" Target="https://www.businesswire.com/news/home/20210326005074/en/AeroFarms-the-World-Leader-in-Indoor-Vertical-Farming-to-Become-Publicly-Traded-Company-through-Combination-with-Spring-Valley-Acquisition-Corp." TargetMode="External"/><Relationship Id="rId902" Type="http://schemas.openxmlformats.org/officeDocument/2006/relationships/hyperlink" Target="https://www.sec.gov/cgi-bin/browse-edgar?CIK=1822966" TargetMode="External"/><Relationship Id="rId901" Type="http://schemas.openxmlformats.org/officeDocument/2006/relationships/hyperlink" Target="https://www.sec.gov/cgi-bin/browse-edgar?CIK=1819438" TargetMode="External"/><Relationship Id="rId900" Type="http://schemas.openxmlformats.org/officeDocument/2006/relationships/hyperlink" Target="https://www.sec.gov/cgi-bin/browse-edgar?CIK=1838361" TargetMode="External"/><Relationship Id="rId929" Type="http://schemas.openxmlformats.org/officeDocument/2006/relationships/hyperlink" Target="https://www.sec.gov/cgi-bin/browse-edgar?CIK=1842311" TargetMode="External"/><Relationship Id="rId928" Type="http://schemas.openxmlformats.org/officeDocument/2006/relationships/hyperlink" Target="https://www.sec.gov/cgi-bin/browse-edgar?CIK=1846750" TargetMode="External"/><Relationship Id="rId927" Type="http://schemas.openxmlformats.org/officeDocument/2006/relationships/hyperlink" Target="https://www.sec.gov/cgi-bin/browse-edgar?CIK=1844537" TargetMode="External"/><Relationship Id="rId926" Type="http://schemas.openxmlformats.org/officeDocument/2006/relationships/hyperlink" Target="https://www.sec.gov/cgi-bin/browse-edgar?CIK=1801602" TargetMode="External"/><Relationship Id="rId921" Type="http://schemas.openxmlformats.org/officeDocument/2006/relationships/hyperlink" Target="https://www.sec.gov/cgi-bin/browse-edgar?CIK=1832459" TargetMode="External"/><Relationship Id="rId920" Type="http://schemas.openxmlformats.org/officeDocument/2006/relationships/hyperlink" Target="https://www.sec.gov/cgi-bin/browse-edgar?CIK=1852038" TargetMode="External"/><Relationship Id="rId925" Type="http://schemas.openxmlformats.org/officeDocument/2006/relationships/hyperlink" Target="https://www.sec.gov/cgi-bin/browse-edgar?CIK=1843764" TargetMode="External"/><Relationship Id="rId924" Type="http://schemas.openxmlformats.org/officeDocument/2006/relationships/hyperlink" Target="https://www.sec.gov/cgi-bin/browse-edgar?CIK=1815753" TargetMode="External"/><Relationship Id="rId923" Type="http://schemas.openxmlformats.org/officeDocument/2006/relationships/hyperlink" Target="https://www.is.com/wp-content/uploads/2021/03/ironSource-Investor-Presentation-March-2021.pdf" TargetMode="External"/><Relationship Id="rId922" Type="http://schemas.openxmlformats.org/officeDocument/2006/relationships/hyperlink" Target="https://www.prnewswire.com/news-releases/ironsource-announces-combination-with-thoma-bravo-advantage-to-create-a-publicly-traded-business-platform-for-the-app-economy-301252534.html?tc=eml_cleartime&amp;utm_source=social_organic&amp;utm_medium=Twitter&amp;utm_term=announcement&amp;utm_content=pr" TargetMode="External"/><Relationship Id="rId918" Type="http://schemas.openxmlformats.org/officeDocument/2006/relationships/hyperlink" Target="https://www.sec.gov/cgi-bin/browse-edgar?CIK=1829322" TargetMode="External"/><Relationship Id="rId917" Type="http://schemas.openxmlformats.org/officeDocument/2006/relationships/hyperlink" Target="https://www.sec.gov/cgi-bin/browse-edgar?CIK=1838000" TargetMode="External"/><Relationship Id="rId916" Type="http://schemas.openxmlformats.org/officeDocument/2006/relationships/hyperlink" Target="https://www.sec.gov/cgi-bin/browse-edgar?CIK=1828914" TargetMode="External"/><Relationship Id="rId915" Type="http://schemas.openxmlformats.org/officeDocument/2006/relationships/hyperlink" Target="https://www.sec.gov/cgi-bin/browse-edgar?CIK=1848267" TargetMode="External"/><Relationship Id="rId919" Type="http://schemas.openxmlformats.org/officeDocument/2006/relationships/hyperlink" Target="https://www.sec.gov/cgi-bin/browse-edgar?CIK=1826991" TargetMode="External"/><Relationship Id="rId910" Type="http://schemas.openxmlformats.org/officeDocument/2006/relationships/hyperlink" Target="https://www.sec.gov/cgi-bin/browse-edgar?CIK=1837240" TargetMode="External"/><Relationship Id="rId914" Type="http://schemas.openxmlformats.org/officeDocument/2006/relationships/hyperlink" Target="https://www.sec.gov/cgi-bin/browse-edgar?CIK=1829730" TargetMode="External"/><Relationship Id="rId913" Type="http://schemas.openxmlformats.org/officeDocument/2006/relationships/hyperlink" Target="https://www.sec.gov/cgi-bin/browse-edgar?CIK=1841800" TargetMode="External"/><Relationship Id="rId912" Type="http://schemas.openxmlformats.org/officeDocument/2006/relationships/hyperlink" Target="https://www.sec.gov/cgi-bin/browse-edgar?CIK=1828672" TargetMode="External"/><Relationship Id="rId911" Type="http://schemas.openxmlformats.org/officeDocument/2006/relationships/hyperlink" Target="https://www.sec.gov/cgi-bin/browse-edgar?CIK=1843477" TargetMode="External"/><Relationship Id="rId629" Type="http://schemas.openxmlformats.org/officeDocument/2006/relationships/hyperlink" Target="https://www.sec.gov/cgi-bin/browse-edgar?CIK=1805795" TargetMode="External"/><Relationship Id="rId624" Type="http://schemas.openxmlformats.org/officeDocument/2006/relationships/hyperlink" Target="https://www.sec.gov/cgi-bin/browse-edgar?CIK=1819263" TargetMode="External"/><Relationship Id="rId866" Type="http://schemas.openxmlformats.org/officeDocument/2006/relationships/hyperlink" Target="https://www.businesswire.com/news/home/20210304005510/en/DeepGreen-Developer-of-the-Worlds-Largest-Estimated-Resource-of-Battery-Metals-for-EVs-to-Combine-with-Sustainable-Opportunities-Acquisition-Corporation" TargetMode="External"/><Relationship Id="rId623" Type="http://schemas.openxmlformats.org/officeDocument/2006/relationships/hyperlink" Target="https://www.sec.gov/cgi-bin/browse-edgar?CIK=1828522" TargetMode="External"/><Relationship Id="rId865" Type="http://schemas.openxmlformats.org/officeDocument/2006/relationships/hyperlink" Target="https://www.sec.gov/cgi-bin/browse-edgar?CIK=1798562" TargetMode="External"/><Relationship Id="rId622" Type="http://schemas.openxmlformats.org/officeDocument/2006/relationships/hyperlink" Target="https://www.sec.gov/cgi-bin/browse-edgar?CIK=1841383" TargetMode="External"/><Relationship Id="rId864" Type="http://schemas.openxmlformats.org/officeDocument/2006/relationships/hyperlink" Target="https://www.sec.gov/cgi-bin/browse-edgar?CIK=1823854" TargetMode="External"/><Relationship Id="rId621" Type="http://schemas.openxmlformats.org/officeDocument/2006/relationships/hyperlink" Target="https://www.sec.gov/cgi-bin/browse-edgar?CIK=1823767" TargetMode="External"/><Relationship Id="rId863" Type="http://schemas.openxmlformats.org/officeDocument/2006/relationships/hyperlink" Target="https://www.sec.gov/Archives/edgar/data/1819584/000121390021007256/ea134805ex99-3_tortoiseacq2.htm" TargetMode="External"/><Relationship Id="rId628" Type="http://schemas.openxmlformats.org/officeDocument/2006/relationships/hyperlink" Target="https://www.sec.gov/cgi-bin/browse-edgar?CIK=1846622" TargetMode="External"/><Relationship Id="rId627" Type="http://schemas.openxmlformats.org/officeDocument/2006/relationships/hyperlink" Target="https://www.sec.gov/cgi-bin/browse-edgar?CIK=1838672" TargetMode="External"/><Relationship Id="rId869" Type="http://schemas.openxmlformats.org/officeDocument/2006/relationships/hyperlink" Target="https://www.sec.gov/cgi-bin/browse-edgar?CIK=1825079" TargetMode="External"/><Relationship Id="rId626" Type="http://schemas.openxmlformats.org/officeDocument/2006/relationships/hyperlink" Target="https://www.sec.gov/cgi-bin/browse-edgar?CIK=1840148" TargetMode="External"/><Relationship Id="rId868" Type="http://schemas.openxmlformats.org/officeDocument/2006/relationships/hyperlink" Target="https://www.sec.gov/cgi-bin/browse-edgar?CIK=1838527" TargetMode="External"/><Relationship Id="rId625" Type="http://schemas.openxmlformats.org/officeDocument/2006/relationships/hyperlink" Target="https://www.sec.gov/cgi-bin/browse-edgar?CIK=1835416" TargetMode="External"/><Relationship Id="rId867" Type="http://schemas.openxmlformats.org/officeDocument/2006/relationships/hyperlink" Target="https://www.sec.gov/Archives/edgar/data/1798562/000121390021013347/ea137001ex99-2_sustainable.htm" TargetMode="External"/><Relationship Id="rId620" Type="http://schemas.openxmlformats.org/officeDocument/2006/relationships/hyperlink" Target="https://www.sec.gov/cgi-bin/browse-edgar?CIK=1819113" TargetMode="External"/><Relationship Id="rId862" Type="http://schemas.openxmlformats.org/officeDocument/2006/relationships/hyperlink" Target="https://www.prnewswire.com/news-releases/volta-industries-inc-and-tortoise-acquisition-corp-ii-announce-planned-merger-combined-company-to-remain-on-the-nyse-301223843.html" TargetMode="External"/><Relationship Id="rId861" Type="http://schemas.openxmlformats.org/officeDocument/2006/relationships/hyperlink" Target="https://www.sec.gov/cgi-bin/browse-edgar?CIK=1819584" TargetMode="External"/><Relationship Id="rId860" Type="http://schemas.openxmlformats.org/officeDocument/2006/relationships/hyperlink" Target="https://www.sec.gov/cgi-bin/browse-edgar?CIK=1838359" TargetMode="External"/><Relationship Id="rId619" Type="http://schemas.openxmlformats.org/officeDocument/2006/relationships/hyperlink" Target="https://www.sec.gov/cgi-bin/browse-edgar?CIK=1852341" TargetMode="External"/><Relationship Id="rId618" Type="http://schemas.openxmlformats.org/officeDocument/2006/relationships/hyperlink" Target="https://www.sec.gov/cgi-bin/browse-edgar?CIK=1854074" TargetMode="External"/><Relationship Id="rId613" Type="http://schemas.openxmlformats.org/officeDocument/2006/relationships/hyperlink" Target="https://www.sec.gov/cgi-bin/browse-edgar?CIK=1831868" TargetMode="External"/><Relationship Id="rId855" Type="http://schemas.openxmlformats.org/officeDocument/2006/relationships/hyperlink" Target="https://www.sec.gov/cgi-bin/browse-edgar?CIK=1847152" TargetMode="External"/><Relationship Id="rId612" Type="http://schemas.openxmlformats.org/officeDocument/2006/relationships/hyperlink" Target="https://www.sec.gov/cgi-bin/browse-edgar?CIK=1831992" TargetMode="External"/><Relationship Id="rId854" Type="http://schemas.openxmlformats.org/officeDocument/2006/relationships/hyperlink" Target="https://www.sec.gov/cgi-bin/browse-edgar?CIK=1844135" TargetMode="External"/><Relationship Id="rId611" Type="http://schemas.openxmlformats.org/officeDocument/2006/relationships/hyperlink" Target="https://www.sec.gov/cgi-bin/browse-edgar?CIK=1825437" TargetMode="External"/><Relationship Id="rId853" Type="http://schemas.openxmlformats.org/officeDocument/2006/relationships/hyperlink" Target="https://www.sec.gov/cgi-bin/browse-edgar?CIK=1844908" TargetMode="External"/><Relationship Id="rId610" Type="http://schemas.openxmlformats.org/officeDocument/2006/relationships/hyperlink" Target="https://www.sec.gov/cgi-bin/browse-edgar?CIK=1790625" TargetMode="External"/><Relationship Id="rId852" Type="http://schemas.openxmlformats.org/officeDocument/2006/relationships/hyperlink" Target="https://www.sec.gov/cgi-bin/browse-edgar?CIK=1848558" TargetMode="External"/><Relationship Id="rId617" Type="http://schemas.openxmlformats.org/officeDocument/2006/relationships/hyperlink" Target="https://www.sec.gov/cgi-bin/browse-edgar?CIK=1841585" TargetMode="External"/><Relationship Id="rId859" Type="http://schemas.openxmlformats.org/officeDocument/2006/relationships/hyperlink" Target="https://www.sec.gov/cgi-bin/browse-edgar?CIK=1842644" TargetMode="External"/><Relationship Id="rId616" Type="http://schemas.openxmlformats.org/officeDocument/2006/relationships/hyperlink" Target="https://www.sec.gov/cgi-bin/browse-edgar?CIK=1821769" TargetMode="External"/><Relationship Id="rId858" Type="http://schemas.openxmlformats.org/officeDocument/2006/relationships/hyperlink" Target="https://www.sec.gov/cgi-bin/browse-edgar?CIK=1826553" TargetMode="External"/><Relationship Id="rId615" Type="http://schemas.openxmlformats.org/officeDocument/2006/relationships/hyperlink" Target="https://www.sec.gov/cgi-bin/browse-edgar?CIK=1848323" TargetMode="External"/><Relationship Id="rId857" Type="http://schemas.openxmlformats.org/officeDocument/2006/relationships/hyperlink" Target="https://www.sec.gov/cgi-bin/browse-edgar?CIK=1838162" TargetMode="External"/><Relationship Id="rId614" Type="http://schemas.openxmlformats.org/officeDocument/2006/relationships/hyperlink" Target="https://www.sec.gov/cgi-bin/browse-edgar?CIK=1823575" TargetMode="External"/><Relationship Id="rId856" Type="http://schemas.openxmlformats.org/officeDocument/2006/relationships/hyperlink" Target="https://www.sec.gov/cgi-bin/browse-edgar?CIK=1834755" TargetMode="External"/><Relationship Id="rId851" Type="http://schemas.openxmlformats.org/officeDocument/2006/relationships/hyperlink" Target="https://www.sec.gov/cgi-bin/browse-edgar?CIK=1820160" TargetMode="External"/><Relationship Id="rId850" Type="http://schemas.openxmlformats.org/officeDocument/2006/relationships/hyperlink" Target="https://www.sec.gov/cgi-bin/browse-edgar?CIK=1820201" TargetMode="External"/><Relationship Id="rId409" Type="http://schemas.openxmlformats.org/officeDocument/2006/relationships/hyperlink" Target="https://www.sec.gov/cgi-bin/browse-edgar?CIK=1842327" TargetMode="External"/><Relationship Id="rId404" Type="http://schemas.openxmlformats.org/officeDocument/2006/relationships/hyperlink" Target="https://www.sec.gov/cgi-bin/browse-edgar?CIK=1841125" TargetMode="External"/><Relationship Id="rId646" Type="http://schemas.openxmlformats.org/officeDocument/2006/relationships/hyperlink" Target="https://www.sec.gov/cgi-bin/browse-edgar?CIK=1848164" TargetMode="External"/><Relationship Id="rId888" Type="http://schemas.openxmlformats.org/officeDocument/2006/relationships/hyperlink" Target="https://www.sec.gov/cgi-bin/browse-edgar?CIK=1830547" TargetMode="External"/><Relationship Id="rId403" Type="http://schemas.openxmlformats.org/officeDocument/2006/relationships/hyperlink" Target="https://www.sec.gov/cgi-bin/browse-edgar?CIK=1846288" TargetMode="External"/><Relationship Id="rId645" Type="http://schemas.openxmlformats.org/officeDocument/2006/relationships/hyperlink" Target="https://www.sec.gov/cgi-bin/browse-edgar?CIK=1828325" TargetMode="External"/><Relationship Id="rId887" Type="http://schemas.openxmlformats.org/officeDocument/2006/relationships/hyperlink" Target="https://www.sec.gov/cgi-bin/browse-edgar?CIK=1847999" TargetMode="External"/><Relationship Id="rId402" Type="http://schemas.openxmlformats.org/officeDocument/2006/relationships/hyperlink" Target="https://www.sec.gov/cgi-bin/browse-edgar?CIK=1839824" TargetMode="External"/><Relationship Id="rId644" Type="http://schemas.openxmlformats.org/officeDocument/2006/relationships/hyperlink" Target="https://www.sec.gov/Archives/edgar/data/1807594/000121390021016795/ea138123ex99-1_malacca.htm" TargetMode="External"/><Relationship Id="rId886" Type="http://schemas.openxmlformats.org/officeDocument/2006/relationships/hyperlink" Target="https://www.sec.gov/cgi-bin/browse-edgar?CIK=1821682" TargetMode="External"/><Relationship Id="rId401" Type="http://schemas.openxmlformats.org/officeDocument/2006/relationships/hyperlink" Target="https://www.sec.gov/cgi-bin/browse-edgar?CIK=1847504" TargetMode="External"/><Relationship Id="rId643" Type="http://schemas.openxmlformats.org/officeDocument/2006/relationships/hyperlink" Target="https://www.globenewswire.com/news-release/2021/03/22/2196760/0/en/Asia-Vision-Network-Indonesia-s-Fastest-Growing-OTT-Media-Provider-Signs-Agreement-to-Combine-with-Malacca-Straits-Acquisition-Company-Limited.html" TargetMode="External"/><Relationship Id="rId885" Type="http://schemas.openxmlformats.org/officeDocument/2006/relationships/hyperlink" Target="https://www.sec.gov/cgi-bin/browse-edgar?CIK=1830214" TargetMode="External"/><Relationship Id="rId408" Type="http://schemas.openxmlformats.org/officeDocument/2006/relationships/hyperlink" Target="https://www.sec.gov/cgi-bin/browse-edgar?CIK=1846689" TargetMode="External"/><Relationship Id="rId407" Type="http://schemas.openxmlformats.org/officeDocument/2006/relationships/hyperlink" Target="https://www.sec.gov/cgi-bin/browse-edgar?CIK=1498233" TargetMode="External"/><Relationship Id="rId649" Type="http://schemas.openxmlformats.org/officeDocument/2006/relationships/hyperlink" Target="https://www.sec.gov/Archives/edgar/data/0001822359/000121390021014150/ea137180ex99-2_motionacq.htm" TargetMode="External"/><Relationship Id="rId406" Type="http://schemas.openxmlformats.org/officeDocument/2006/relationships/hyperlink" Target="https://www.sec.gov/cgi-bin/browse-edgar?CIK=1822792" TargetMode="External"/><Relationship Id="rId648" Type="http://schemas.openxmlformats.org/officeDocument/2006/relationships/hyperlink" Target="https://www.prnewswire.com/news-releases/ambulnz-dba-docgo-a-leading-provider-of-last-mile-telehealth-and-integrated-medical-mobility-services-announces-agreement-to-become-publicly-traded-via-merger-with-motion-acquisition-corp-301243040.html" TargetMode="External"/><Relationship Id="rId405" Type="http://schemas.openxmlformats.org/officeDocument/2006/relationships/hyperlink" Target="https://www.sec.gov/cgi-bin/browse-edgar?CIK=1839121" TargetMode="External"/><Relationship Id="rId647" Type="http://schemas.openxmlformats.org/officeDocument/2006/relationships/hyperlink" Target="https://www.sec.gov/cgi-bin/browse-edgar?CIK=1822359" TargetMode="External"/><Relationship Id="rId889" Type="http://schemas.openxmlformats.org/officeDocument/2006/relationships/hyperlink" Target="https://www.sec.gov/cgi-bin/browse-edgar?CIK=1779474" TargetMode="External"/><Relationship Id="rId880" Type="http://schemas.openxmlformats.org/officeDocument/2006/relationships/hyperlink" Target="https://www.sec.gov/Archives/edgar/data/1821850/000121390021003877/ea133748ex99-3_spartanacq2.htm" TargetMode="External"/><Relationship Id="rId400" Type="http://schemas.openxmlformats.org/officeDocument/2006/relationships/hyperlink" Target="https://www.sec.gov/cgi-bin/browse-edgar?CIK=1837014" TargetMode="External"/><Relationship Id="rId642" Type="http://schemas.openxmlformats.org/officeDocument/2006/relationships/hyperlink" Target="https://www.sec.gov/cgi-bin/browse-edgar?CIK=1807594" TargetMode="External"/><Relationship Id="rId884" Type="http://schemas.openxmlformats.org/officeDocument/2006/relationships/hyperlink" Target="https://www.sec.gov/Archives/edgar/data/1781162/000121390020030403/ea127854ex99-2_stableroad.htm" TargetMode="External"/><Relationship Id="rId641" Type="http://schemas.openxmlformats.org/officeDocument/2006/relationships/hyperlink" Target="https://www.sec.gov/cgi-bin/browse-edgar?CIK=1847440" TargetMode="External"/><Relationship Id="rId883" Type="http://schemas.openxmlformats.org/officeDocument/2006/relationships/hyperlink" Target="https://www.businesswire.com/news/home/20201007005323/en/Momentus-to-Become-Public-Through-Merger-With-Stable-Road-Acquisition-Corp." TargetMode="External"/><Relationship Id="rId640" Type="http://schemas.openxmlformats.org/officeDocument/2006/relationships/hyperlink" Target="https://www.sec.gov/cgi-bin/browse-edgar?CIK=1826058" TargetMode="External"/><Relationship Id="rId882" Type="http://schemas.openxmlformats.org/officeDocument/2006/relationships/hyperlink" Target="https://www.sec.gov/cgi-bin/browse-edgar?CIK=1781162" TargetMode="External"/><Relationship Id="rId881" Type="http://schemas.openxmlformats.org/officeDocument/2006/relationships/hyperlink" Target="https://www.sec.gov/cgi-bin/browse-edgar?CIK=1836259" TargetMode="External"/><Relationship Id="rId635" Type="http://schemas.openxmlformats.org/officeDocument/2006/relationships/hyperlink" Target="https://www.sec.gov/Archives/edgar/data/1832415/000121390021020544/ea139081ex99-2_mountain2.htm" TargetMode="External"/><Relationship Id="rId877" Type="http://schemas.openxmlformats.org/officeDocument/2006/relationships/hyperlink" Target="https://www.sec.gov/Archives/edgar/data/1825024/000119312521085157/d105491dex992.htm" TargetMode="External"/><Relationship Id="rId634" Type="http://schemas.openxmlformats.org/officeDocument/2006/relationships/hyperlink" Target="https://www.businesswire.com/news/home/20210407005486/en/Better-Therapeutics-to-Become-Publicly-Traded-Prescription-Digital-Therapeutics-Company-via-Merger-with-Mountain-Crest-Acquisition-Corp.-II" TargetMode="External"/><Relationship Id="rId876" Type="http://schemas.openxmlformats.org/officeDocument/2006/relationships/hyperlink" Target="https://www.prnewswire.com/news-releases/offerpad-a-leading-tech-enabled-real-estate-solutions-platform-announces-plans-to-become-publicly-traded-via-merger-with-supernova-partners-acquisition-company-301250228.html" TargetMode="External"/><Relationship Id="rId633" Type="http://schemas.openxmlformats.org/officeDocument/2006/relationships/hyperlink" Target="https://www.sec.gov/cgi-bin/browse-edgar?CIK=1832415" TargetMode="External"/><Relationship Id="rId875" Type="http://schemas.openxmlformats.org/officeDocument/2006/relationships/hyperlink" Target="https://www.sec.gov/cgi-bin/browse-edgar?CIK=1825024" TargetMode="External"/><Relationship Id="rId632" Type="http://schemas.openxmlformats.org/officeDocument/2006/relationships/hyperlink" Target="https://www.sec.gov/cgi-bin/browse-edgar?CIK=1837344" TargetMode="External"/><Relationship Id="rId874" Type="http://schemas.openxmlformats.org/officeDocument/2006/relationships/hyperlink" Target="https://www.sec.gov/cgi-bin/browse-edgar?CIK=1826435" TargetMode="External"/><Relationship Id="rId639" Type="http://schemas.openxmlformats.org/officeDocument/2006/relationships/hyperlink" Target="https://www.sec.gov/cgi-bin/browse-edgar?CIK=1849902" TargetMode="External"/><Relationship Id="rId638" Type="http://schemas.openxmlformats.org/officeDocument/2006/relationships/hyperlink" Target="https://www.sec.gov/cgi-bin/browse-edgar?CIK=1823143" TargetMode="External"/><Relationship Id="rId637" Type="http://schemas.openxmlformats.org/officeDocument/2006/relationships/hyperlink" Target="https://www.sec.gov/cgi-bin/browse-edgar?CIK=1846752" TargetMode="External"/><Relationship Id="rId879" Type="http://schemas.openxmlformats.org/officeDocument/2006/relationships/hyperlink" Target="https://www.businesswire.com/news/home/20210125005213/en/%C2%A0Sunlight-Financial-LLC-a-Premier-Residential-Solar-Financing-Platform-to-List-on-NYSE-Through-Merger-With-Apollo-Affiliated-Spartan-Acquisition-Corp.-II" TargetMode="External"/><Relationship Id="rId636" Type="http://schemas.openxmlformats.org/officeDocument/2006/relationships/hyperlink" Target="https://www.sec.gov/cgi-bin/browse-edgar?CIK=1785592" TargetMode="External"/><Relationship Id="rId878" Type="http://schemas.openxmlformats.org/officeDocument/2006/relationships/hyperlink" Target="https://www.sec.gov/cgi-bin/browse-edgar?CIK=1821850" TargetMode="External"/><Relationship Id="rId631" Type="http://schemas.openxmlformats.org/officeDocument/2006/relationships/hyperlink" Target="https://www.sec.gov/cgi-bin/browse-edgar?CIK=1839175" TargetMode="External"/><Relationship Id="rId873" Type="http://schemas.openxmlformats.org/officeDocument/2006/relationships/hyperlink" Target="https://www.sec.gov/cgi-bin/browse-edgar?CIK=1839127" TargetMode="External"/><Relationship Id="rId630" Type="http://schemas.openxmlformats.org/officeDocument/2006/relationships/hyperlink" Target="https://www.sec.gov/cgi-bin/browse-edgar?CIK=1844419" TargetMode="External"/><Relationship Id="rId872" Type="http://schemas.openxmlformats.org/officeDocument/2006/relationships/hyperlink" Target="https://www.sec.gov/cgi-bin/browse-edgar?CIK=1847618" TargetMode="External"/><Relationship Id="rId871" Type="http://schemas.openxmlformats.org/officeDocument/2006/relationships/hyperlink" Target="https://www.sec.gov/Archives/edgar/data/1825079/000110465921040078/tm2110566d1_ex99-2.htm" TargetMode="External"/><Relationship Id="rId870" Type="http://schemas.openxmlformats.org/officeDocument/2006/relationships/hyperlink" Target="https://www.businesswire.com/news/home/20210323005467/en/" TargetMode="External"/><Relationship Id="rId829" Type="http://schemas.openxmlformats.org/officeDocument/2006/relationships/hyperlink" Target="https://www.businesswire.com/news/home/20210216005505/en/Owlet-Baby-Care%C2%A0the%C2%A0Connected%C2%A0Nursery-Ecosystem%C2%A0that%C2%A0Delivers-Data-Driven%C2%A0Technology-to-Modern-Parenting-to-Become-Publicly%C2%A0Traded-via-Merger-with-Sandbridge%C2%A0Acquisition%C2%A0Corporation" TargetMode="External"/><Relationship Id="rId828" Type="http://schemas.openxmlformats.org/officeDocument/2006/relationships/hyperlink" Target="https://www.sec.gov/cgi-bin/browse-edgar?CIK=1816708" TargetMode="External"/><Relationship Id="rId827" Type="http://schemas.openxmlformats.org/officeDocument/2006/relationships/hyperlink" Target="https://www.sec.gov/cgi-bin/browse-edgar?CIK=1836707" TargetMode="External"/><Relationship Id="rId822" Type="http://schemas.openxmlformats.org/officeDocument/2006/relationships/hyperlink" Target="https://www.sec.gov/cgi-bin/browse-edgar?CIK=1845734" TargetMode="External"/><Relationship Id="rId821" Type="http://schemas.openxmlformats.org/officeDocument/2006/relationships/hyperlink" Target="https://www.sec.gov/cgi-bin/browse-edgar?CIK=1840463" TargetMode="External"/><Relationship Id="rId820" Type="http://schemas.openxmlformats.org/officeDocument/2006/relationships/hyperlink" Target="https://www.sec.gov/cgi-bin/browse-edgar?CIK=1846136" TargetMode="External"/><Relationship Id="rId826" Type="http://schemas.openxmlformats.org/officeDocument/2006/relationships/hyperlink" Target="https://www.sec.gov/cgi-bin/browse-edgar?CIK=1843100" TargetMode="External"/><Relationship Id="rId825" Type="http://schemas.openxmlformats.org/officeDocument/2006/relationships/hyperlink" Target="https://www.sec.gov/Archives/edgar/data/1816048/000121390021005574/ea134301ex99-2_software2.htm" TargetMode="External"/><Relationship Id="rId824" Type="http://schemas.openxmlformats.org/officeDocument/2006/relationships/hyperlink" Target="https://www.businesswire.com/news/home/20210201005417/en/Otonomo-Leading-Platform-and-Marketplace-for-Vehicle-Data-to-List-on-Nasdaq-Through-a-Business-Combination-with-Software-Acquisition-Group-Inc.-II" TargetMode="External"/><Relationship Id="rId823" Type="http://schemas.openxmlformats.org/officeDocument/2006/relationships/hyperlink" Target="https://www.sec.gov/cgi-bin/browse-edgar?CIK=1816048" TargetMode="External"/><Relationship Id="rId819" Type="http://schemas.openxmlformats.org/officeDocument/2006/relationships/hyperlink" Target="https://www.sec.gov/Archives/edgar/data/1828105/000119312521068418/d117122dex991.htm" TargetMode="External"/><Relationship Id="rId818" Type="http://schemas.openxmlformats.org/officeDocument/2006/relationships/hyperlink" Target="https://www.businesswire.com/news/home/20210304005356/en/Hippo-to-Go-Public-in-Merger-with-Reinvent-Technology-Partners-Z-Company-is-Transforming-the-Home-Insurance-Industry" TargetMode="External"/><Relationship Id="rId817" Type="http://schemas.openxmlformats.org/officeDocument/2006/relationships/hyperlink" Target="https://www.sec.gov/cgi-bin/browse-edgar?CIK=1828105" TargetMode="External"/><Relationship Id="rId816" Type="http://schemas.openxmlformats.org/officeDocument/2006/relationships/hyperlink" Target="https://www.sec.gov/cgi-bin/browse-edgar?CIK=1828108" TargetMode="External"/><Relationship Id="rId811" Type="http://schemas.openxmlformats.org/officeDocument/2006/relationships/hyperlink" Target="https://www.prnewswire.com/news-releases/advanced-silicon-battery-company-enovix-to-become-a-public-company-through-merger-with-rodgers-silicon-valley-acquisition-corp-301232218.html" TargetMode="External"/><Relationship Id="rId810" Type="http://schemas.openxmlformats.org/officeDocument/2006/relationships/hyperlink" Target="https://www.sec.gov/cgi-bin/browse-edgar?CIK=1828318" TargetMode="External"/><Relationship Id="rId815" Type="http://schemas.openxmlformats.org/officeDocument/2006/relationships/hyperlink" Target="https://www.sec.gov/Archives/edgar/data/1819848/000119312521053631/d135823dex992.htm" TargetMode="External"/><Relationship Id="rId814" Type="http://schemas.openxmlformats.org/officeDocument/2006/relationships/hyperlink" Target="https://www.businesswire.com/news/home/20210224005391/en/Joby-Aviation-to-List-on-NYSE-Through-Merger-With-Reinvent-Technology-Partners" TargetMode="External"/><Relationship Id="rId813" Type="http://schemas.openxmlformats.org/officeDocument/2006/relationships/hyperlink" Target="https://www.sec.gov/cgi-bin/browse-edgar?CIK=1819848" TargetMode="External"/><Relationship Id="rId812" Type="http://schemas.openxmlformats.org/officeDocument/2006/relationships/hyperlink" Target="https://www.sec.gov/Archives/edgar/data/1828318/000110465921026022/tm217461d1_ex99-2.htm" TargetMode="External"/><Relationship Id="rId609" Type="http://schemas.openxmlformats.org/officeDocument/2006/relationships/hyperlink" Target="https://www.sec.gov/cgi-bin/browse-edgar?CIK=1848364" TargetMode="External"/><Relationship Id="rId608" Type="http://schemas.openxmlformats.org/officeDocument/2006/relationships/hyperlink" Target="https://www.sec.gov/cgi-bin/browse-edgar?CIK=1840780" TargetMode="External"/><Relationship Id="rId607" Type="http://schemas.openxmlformats.org/officeDocument/2006/relationships/hyperlink" Target="https://www.sec.gov/cgi-bin/browse-edgar?CIK=1845991" TargetMode="External"/><Relationship Id="rId849" Type="http://schemas.openxmlformats.org/officeDocument/2006/relationships/hyperlink" Target="https://www.sec.gov/Archives/edgar/data/1753539/000119312521047044/d135867dex992.htm" TargetMode="External"/><Relationship Id="rId602" Type="http://schemas.openxmlformats.org/officeDocument/2006/relationships/hyperlink" Target="https://www.sec.gov/cgi-bin/browse-edgar?CIK=1832300" TargetMode="External"/><Relationship Id="rId844" Type="http://schemas.openxmlformats.org/officeDocument/2006/relationships/hyperlink" Target="https://www.sec.gov/cgi-bin/browse-edgar?CIK=1820852" TargetMode="External"/><Relationship Id="rId601" Type="http://schemas.openxmlformats.org/officeDocument/2006/relationships/hyperlink" Target="https://www.sec.gov/cgi-bin/browse-edgar?CIK=1836337" TargetMode="External"/><Relationship Id="rId843" Type="http://schemas.openxmlformats.org/officeDocument/2006/relationships/hyperlink" Target="https://www.sec.gov/cgi-bin/browse-edgar?CIK=1831762" TargetMode="External"/><Relationship Id="rId600" Type="http://schemas.openxmlformats.org/officeDocument/2006/relationships/hyperlink" Target="https://www.sec.gov/cgi-bin/browse-edgar?CIK=1822873" TargetMode="External"/><Relationship Id="rId842" Type="http://schemas.openxmlformats.org/officeDocument/2006/relationships/hyperlink" Target="https://www.sec.gov/cgi-bin/browse-edgar?CIK=1837248" TargetMode="External"/><Relationship Id="rId841" Type="http://schemas.openxmlformats.org/officeDocument/2006/relationships/hyperlink" Target="https://www.sec.gov/cgi-bin/browse-edgar?CIK=1794717" TargetMode="External"/><Relationship Id="rId606" Type="http://schemas.openxmlformats.org/officeDocument/2006/relationships/hyperlink" Target="https://www.sec.gov/cgi-bin/browse-edgar?CIK=1846004" TargetMode="External"/><Relationship Id="rId848" Type="http://schemas.openxmlformats.org/officeDocument/2006/relationships/hyperlink" Target="https://www.businesswire.com/news/home/20210218005480/en/BlackSky-a-Leading-Real-Time-Geospatial-Intelligence-Imagery-and-Data-Analytics-Company-to-List-on-NYSE-Through-a-Merger-With-Osprey-Technology-Acquisition-Corp" TargetMode="External"/><Relationship Id="rId605" Type="http://schemas.openxmlformats.org/officeDocument/2006/relationships/hyperlink" Target="https://www.sec.gov/cgi-bin/browse-edgar?CIK=1852084" TargetMode="External"/><Relationship Id="rId847" Type="http://schemas.openxmlformats.org/officeDocument/2006/relationships/hyperlink" Target="https://www.sec.gov/cgi-bin/browse-edgar?CIK=1753539" TargetMode="External"/><Relationship Id="rId604" Type="http://schemas.openxmlformats.org/officeDocument/2006/relationships/hyperlink" Target="https://www.sec.gov/cgi-bin/browse-edgar?CIK=1824153" TargetMode="External"/><Relationship Id="rId846" Type="http://schemas.openxmlformats.org/officeDocument/2006/relationships/hyperlink" Target="https://www.sec.gov/cgi-bin/browse-edgar?CIK=1846611" TargetMode="External"/><Relationship Id="rId603" Type="http://schemas.openxmlformats.org/officeDocument/2006/relationships/hyperlink" Target="https://www.sec.gov/cgi-bin/browse-edgar?CIK=1841948" TargetMode="External"/><Relationship Id="rId845" Type="http://schemas.openxmlformats.org/officeDocument/2006/relationships/hyperlink" Target="https://www.sec.gov/cgi-bin/browse-edgar?CIK=1846975" TargetMode="External"/><Relationship Id="rId840" Type="http://schemas.openxmlformats.org/officeDocument/2006/relationships/hyperlink" Target="https://www.sec.gov/Archives/edgar/data/1764301/000119312521086719/d156616dex993.htm" TargetMode="External"/><Relationship Id="rId839" Type="http://schemas.openxmlformats.org/officeDocument/2006/relationships/hyperlink" Target="https://www.businesswire.com/news/home/20210319005191/en/Rockley-Photonics-Accelerates-Plan-to-Revolutionize-Consumer-Health-and-Wellness-Monitoring-by-Going-Public-via-SC-Health-Corp" TargetMode="External"/><Relationship Id="rId838" Type="http://schemas.openxmlformats.org/officeDocument/2006/relationships/hyperlink" Target="https://www.sec.gov/cgi-bin/browse-edgar?CIK=1764301" TargetMode="External"/><Relationship Id="rId833" Type="http://schemas.openxmlformats.org/officeDocument/2006/relationships/hyperlink" Target="https://www.sec.gov/cgi-bin/browse-edgar?CIK=1849582" TargetMode="External"/><Relationship Id="rId832" Type="http://schemas.openxmlformats.org/officeDocument/2006/relationships/hyperlink" Target="https://www.sec.gov/cgi-bin/browse-edgar?CIK=1821812" TargetMode="External"/><Relationship Id="rId831" Type="http://schemas.openxmlformats.org/officeDocument/2006/relationships/hyperlink" Target="https://www.sec.gov/cgi-bin/browse-edgar?CIK=1842729" TargetMode="External"/><Relationship Id="rId830" Type="http://schemas.openxmlformats.org/officeDocument/2006/relationships/hyperlink" Target="https://www.sec.gov/Archives/edgar/data/1816708/000114036121004864/nt10020073x2_ex99-2.htm" TargetMode="External"/><Relationship Id="rId837" Type="http://schemas.openxmlformats.org/officeDocument/2006/relationships/hyperlink" Target="https://www.sec.gov/cgi-bin/browse-edgar?CIK=1838431" TargetMode="External"/><Relationship Id="rId836" Type="http://schemas.openxmlformats.org/officeDocument/2006/relationships/hyperlink" Target="https://www.sec.gov/cgi-bin/browse-edgar?CIK=1828985" TargetMode="External"/><Relationship Id="rId835" Type="http://schemas.openxmlformats.org/officeDocument/2006/relationships/hyperlink" Target="https://www.sec.gov/cgi-bin/browse-edgar?CIK=1838697" TargetMode="External"/><Relationship Id="rId834" Type="http://schemas.openxmlformats.org/officeDocument/2006/relationships/hyperlink" Target="https://www.sec.gov/cgi-bin/browse-edgar?CIK=1849584" TargetMode="External"/><Relationship Id="rId1059" Type="http://schemas.openxmlformats.org/officeDocument/2006/relationships/hyperlink" Target="https://www.sec.gov/cgi-bin/browse-edgar?CIK=1847208" TargetMode="External"/><Relationship Id="rId228" Type="http://schemas.openxmlformats.org/officeDocument/2006/relationships/hyperlink" Target="https://www.sec.gov/Archives/edgar/data/1818331/000121390021007928/ea135108ex99-2_cmlifescience.htm" TargetMode="External"/><Relationship Id="rId227" Type="http://schemas.openxmlformats.org/officeDocument/2006/relationships/hyperlink" Target="https://www.businesswire.com/news/home/20210210005493/en/%C2%A0Sema4-a-Disruptive-AI-driven-Genomic-Clinical-Data-Platform-Company-to-Combine-with-CM-Life-Sciences-to-Accelerate-Growth" TargetMode="External"/><Relationship Id="rId469" Type="http://schemas.openxmlformats.org/officeDocument/2006/relationships/hyperlink" Target="https://www.sec.gov/Archives/edgar/data/1752828/000121390021001040/ea132952ex99-3_gxacquisit.htm" TargetMode="External"/><Relationship Id="rId226" Type="http://schemas.openxmlformats.org/officeDocument/2006/relationships/hyperlink" Target="https://www.sec.gov/cgi-bin/browse-edgar?CIK=1818331" TargetMode="External"/><Relationship Id="rId468" Type="http://schemas.openxmlformats.org/officeDocument/2006/relationships/hyperlink" Target="https://www.prnewswire.com/news-releases/celularity-and-gx-acquisition-corp-announce-merger-agreement-to-create-a-publicly-listed-leader-in-allogeneic-cellular-therapy-301203341.html" TargetMode="External"/><Relationship Id="rId225" Type="http://schemas.openxmlformats.org/officeDocument/2006/relationships/hyperlink" Target="https://www.sec.gov/Archives/edgar/data/1837412/000121390021018106/ea138502ex99-2_cmlife2.htm" TargetMode="External"/><Relationship Id="rId467" Type="http://schemas.openxmlformats.org/officeDocument/2006/relationships/hyperlink" Target="https://www.sec.gov/cgi-bin/browse-edgar?CIK=1752828" TargetMode="External"/><Relationship Id="rId229" Type="http://schemas.openxmlformats.org/officeDocument/2006/relationships/hyperlink" Target="https://www.sec.gov/cgi-bin/browse-edgar?CIK=1843762" TargetMode="External"/><Relationship Id="rId1050" Type="http://schemas.openxmlformats.org/officeDocument/2006/relationships/hyperlink" Target="https://www.sec.gov/cgi-bin/browse-edgar?CIK=1846459" TargetMode="External"/><Relationship Id="rId220" Type="http://schemas.openxmlformats.org/officeDocument/2006/relationships/hyperlink" Target="https://www.sec.gov/cgi-bin/browse-edgar?CIK=1849058" TargetMode="External"/><Relationship Id="rId462" Type="http://schemas.openxmlformats.org/officeDocument/2006/relationships/hyperlink" Target="https://www.sec.gov/cgi-bin/browse-edgar?CIK=1842046" TargetMode="External"/><Relationship Id="rId1051" Type="http://schemas.openxmlformats.org/officeDocument/2006/relationships/hyperlink" Target="https://www.sec.gov/cgi-bin/browse-edgar?CIK=1847197" TargetMode="External"/><Relationship Id="rId461" Type="http://schemas.openxmlformats.org/officeDocument/2006/relationships/hyperlink" Target="https://www.sec.gov/cgi-bin/browse-edgar?CIK=1837105" TargetMode="External"/><Relationship Id="rId1052" Type="http://schemas.openxmlformats.org/officeDocument/2006/relationships/hyperlink" Target="https://www.sec.gov/cgi-bin/browse-edgar?CIK=1843803" TargetMode="External"/><Relationship Id="rId460" Type="http://schemas.openxmlformats.org/officeDocument/2006/relationships/hyperlink" Target="https://www.sec.gov/cgi-bin/browse-edgar?CIK=1817712" TargetMode="External"/><Relationship Id="rId1053" Type="http://schemas.openxmlformats.org/officeDocument/2006/relationships/hyperlink" Target="https://www.sec.gov/cgi-bin/browse-edgar?CIK=1843668" TargetMode="External"/><Relationship Id="rId1054" Type="http://schemas.openxmlformats.org/officeDocument/2006/relationships/hyperlink" Target="https://www.sec.gov/cgi-bin/browse-edgar?CIK=1847512" TargetMode="External"/><Relationship Id="rId224" Type="http://schemas.openxmlformats.org/officeDocument/2006/relationships/hyperlink" Target="https://www.businesswire.com/news/home/20210329005184/en/" TargetMode="External"/><Relationship Id="rId466" Type="http://schemas.openxmlformats.org/officeDocument/2006/relationships/hyperlink" Target="https://www.sec.gov/cgi-bin/browse-edgar?CIK=1850487" TargetMode="External"/><Relationship Id="rId1055" Type="http://schemas.openxmlformats.org/officeDocument/2006/relationships/hyperlink" Target="https://www.sec.gov/cgi-bin/browse-edgar?CIK=1848274" TargetMode="External"/><Relationship Id="rId223" Type="http://schemas.openxmlformats.org/officeDocument/2006/relationships/hyperlink" Target="https://www.sec.gov/cgi-bin/browse-edgar?CIK=1837412" TargetMode="External"/><Relationship Id="rId465" Type="http://schemas.openxmlformats.org/officeDocument/2006/relationships/hyperlink" Target="https://www.sec.gov/Archives/edgar/data/1819989/000121390021013594/ea136931ex99-2_goodworks.htm" TargetMode="External"/><Relationship Id="rId1056" Type="http://schemas.openxmlformats.org/officeDocument/2006/relationships/hyperlink" Target="https://www.sec.gov/cgi-bin/browse-edgar?CIK=1847513" TargetMode="External"/><Relationship Id="rId222" Type="http://schemas.openxmlformats.org/officeDocument/2006/relationships/hyperlink" Target="https://www.sec.gov/cgi-bin/browse-edgar?CIK=1831937" TargetMode="External"/><Relationship Id="rId464" Type="http://schemas.openxmlformats.org/officeDocument/2006/relationships/hyperlink" Target="https://www.businesswire.com/news/home/20210305005234/en/Cipher-Mining-Inc.-a-Newly-Formed-US-based-Bitcoin-Mining-Company-to-Become-a-Publicly-Traded-Company-via-a-Merger-with-Good-Works-Acquisition-Corp" TargetMode="External"/><Relationship Id="rId1057" Type="http://schemas.openxmlformats.org/officeDocument/2006/relationships/hyperlink" Target="https://www.sec.gov/cgi-bin/browse-edgar?CIK=1849280" TargetMode="External"/><Relationship Id="rId221" Type="http://schemas.openxmlformats.org/officeDocument/2006/relationships/hyperlink" Target="http://1-800-flowers.com/" TargetMode="External"/><Relationship Id="rId463" Type="http://schemas.openxmlformats.org/officeDocument/2006/relationships/hyperlink" Target="https://www.sec.gov/cgi-bin/browse-edgar?CIK=1819989" TargetMode="External"/><Relationship Id="rId1058" Type="http://schemas.openxmlformats.org/officeDocument/2006/relationships/hyperlink" Target="https://www.sec.gov/cgi-bin/browse-edgar?CIK=1843069" TargetMode="External"/><Relationship Id="rId1048" Type="http://schemas.openxmlformats.org/officeDocument/2006/relationships/hyperlink" Target="https://www.sec.gov/cgi-bin/browse-edgar?CIK=1843917" TargetMode="External"/><Relationship Id="rId1049" Type="http://schemas.openxmlformats.org/officeDocument/2006/relationships/hyperlink" Target="https://www.sec.gov/cgi-bin/browse-edgar?CIK=1843862" TargetMode="External"/><Relationship Id="rId217" Type="http://schemas.openxmlformats.org/officeDocument/2006/relationships/hyperlink" Target="https://www.businesswire.com/news/home/20210122005058/en/EVgo-an-LS-Power-Company-and-Leader-in-U.S.-Electric-Vehicle-Fast-Charging-to-Publicly-List-through-Business-Combination-with-Climate-Change-Crisis-Real-Impact-I-Acquisition-Corporation" TargetMode="External"/><Relationship Id="rId459" Type="http://schemas.openxmlformats.org/officeDocument/2006/relationships/hyperlink" Target="https://www.sec.gov/cgi-bin/browse-edgar?CIK=1837207" TargetMode="External"/><Relationship Id="rId216" Type="http://schemas.openxmlformats.org/officeDocument/2006/relationships/hyperlink" Target="https://www.sec.gov/cgi-bin/browse-edgar?CIK=1821159" TargetMode="External"/><Relationship Id="rId458" Type="http://schemas.openxmlformats.org/officeDocument/2006/relationships/hyperlink" Target="https://www.sec.gov/cgi-bin/browse-edgar?CIK=1828096" TargetMode="External"/><Relationship Id="rId215" Type="http://schemas.openxmlformats.org/officeDocument/2006/relationships/hyperlink" Target="https://www.sec.gov/cgi-bin/browse-edgar?CIK=1843983" TargetMode="External"/><Relationship Id="rId457" Type="http://schemas.openxmlformats.org/officeDocument/2006/relationships/hyperlink" Target="https://www.sec.gov/cgi-bin/browse-edgar?CIK=1823707" TargetMode="External"/><Relationship Id="rId699" Type="http://schemas.openxmlformats.org/officeDocument/2006/relationships/hyperlink" Target="https://www.sec.gov/cgi-bin/browse-edgar?CIK=1835814" TargetMode="External"/><Relationship Id="rId214" Type="http://schemas.openxmlformats.org/officeDocument/2006/relationships/hyperlink" Target="https://www.sec.gov/cgi-bin/browse-edgar?CIK=1847064" TargetMode="External"/><Relationship Id="rId456" Type="http://schemas.openxmlformats.org/officeDocument/2006/relationships/hyperlink" Target="https://www.sec.gov/cgi-bin/browse-edgar?CIK=1809987" TargetMode="External"/><Relationship Id="rId698" Type="http://schemas.openxmlformats.org/officeDocument/2006/relationships/hyperlink" Target="https://www.sec.gov/cgi-bin/browse-edgar?CIK=1835817" TargetMode="External"/><Relationship Id="rId219" Type="http://schemas.openxmlformats.org/officeDocument/2006/relationships/hyperlink" Target="https://www.sec.gov/cgi-bin/browse-edgar?CIK=1835713" TargetMode="External"/><Relationship Id="rId218" Type="http://schemas.openxmlformats.org/officeDocument/2006/relationships/hyperlink" Target="https://www.sec.gov/Archives/edgar/data/1821159/000121390021003602/ea133683ex99-3_climate1.htm" TargetMode="External"/><Relationship Id="rId451" Type="http://schemas.openxmlformats.org/officeDocument/2006/relationships/hyperlink" Target="https://www.businesswire.com/news/home/20210208005690/en/GreenVision-Acquisition-Corp.-Announces-Merger-Agreement-With-Helbiz-Inc.-to-Become-the-First-Micro-Mobility-Company-Listed-on-NASDAQ/?feedref=JjAwJuNHiystnCoBq_hl-XEemlDQ6NgDkiei3bSxnzGlJCVVeQL8sr5Wvng8AXxRSfe41V1BKA-b6v2ZVrSSNs-dUYKiDvY7XniNSqv88QcY1Ge_vf9QIMZ4alzIf_0HE01s4RTGeX_C4TDnN9C9Cg==" TargetMode="External"/><Relationship Id="rId693" Type="http://schemas.openxmlformats.org/officeDocument/2006/relationships/hyperlink" Target="https://www.businesswire.com/news/home/20210301005279/en/Spire-Global-Inc.-a-Leading-Global-Provider-of-Space-Based-Data-and-Analytics-to-Go-Public-Through-a-Merger-with-NavSight-Holdings-Inc." TargetMode="External"/><Relationship Id="rId1040" Type="http://schemas.openxmlformats.org/officeDocument/2006/relationships/hyperlink" Target="https://www.businesswire.com/news/home/20210125005389/en/Foley-Trasimene-Acquisition-Corp.-and-Alight-Solutions-Announce-Merger" TargetMode="External"/><Relationship Id="rId450" Type="http://schemas.openxmlformats.org/officeDocument/2006/relationships/hyperlink" Target="https://www.sec.gov/cgi-bin/browse-edgar?CIK=1788841" TargetMode="External"/><Relationship Id="rId692" Type="http://schemas.openxmlformats.org/officeDocument/2006/relationships/hyperlink" Target="https://www.sec.gov/cgi-bin/browse-edgar?CIK=1816017" TargetMode="External"/><Relationship Id="rId1041" Type="http://schemas.openxmlformats.org/officeDocument/2006/relationships/hyperlink" Target="https://www.sec.gov/Archives/edgar/data/1809104/000110465921006843/tm214027d1_ex99-2.htm" TargetMode="External"/><Relationship Id="rId691" Type="http://schemas.openxmlformats.org/officeDocument/2006/relationships/hyperlink" Target="https://www.sec.gov/cgi-bin/browse-edgar?CIK=1831964" TargetMode="External"/><Relationship Id="rId1042" Type="http://schemas.openxmlformats.org/officeDocument/2006/relationships/hyperlink" Target="https://www.sec.gov/cgi-bin/browse-edgar?CIK=1849410" TargetMode="External"/><Relationship Id="rId690" Type="http://schemas.openxmlformats.org/officeDocument/2006/relationships/hyperlink" Target="https://www.sec.gov/cgi-bin/browse-edgar?CIK=1844004" TargetMode="External"/><Relationship Id="rId1043" Type="http://schemas.openxmlformats.org/officeDocument/2006/relationships/hyperlink" Target="https://www.sec.gov/cgi-bin/browse-edgar?CIK=1839341" TargetMode="External"/><Relationship Id="rId213" Type="http://schemas.openxmlformats.org/officeDocument/2006/relationships/hyperlink" Target="https://www.sec.gov/cgi-bin/browse-edgar?CIK=1826855" TargetMode="External"/><Relationship Id="rId455" Type="http://schemas.openxmlformats.org/officeDocument/2006/relationships/hyperlink" Target="https://www.sec.gov/Archives/edgar/data/1816816/000119312521051423/d61123dex992.htm" TargetMode="External"/><Relationship Id="rId697" Type="http://schemas.openxmlformats.org/officeDocument/2006/relationships/hyperlink" Target="https://www.sec.gov/Archives/edgar/data/1834518/000119312521049862/d137294dex992.htm" TargetMode="External"/><Relationship Id="rId1044" Type="http://schemas.openxmlformats.org/officeDocument/2006/relationships/hyperlink" Target="https://www.sec.gov/cgi-bin/browse-edgar?CIK=1821742" TargetMode="External"/><Relationship Id="rId212" Type="http://schemas.openxmlformats.org/officeDocument/2006/relationships/hyperlink" Target="https://www.sec.gov/cgi-bin/browse-edgar?CIK=1837739" TargetMode="External"/><Relationship Id="rId454" Type="http://schemas.openxmlformats.org/officeDocument/2006/relationships/hyperlink" Target="https://www.businesswire.com/news/home/20210223005589/en/Ardagh-Metal-Packaging-to-Combine-With-Gores-Holdings-V-and-List-on-NYSE/?feedref=JjAwJuNHiystnCoBq_hl-aH2gtkQQ1l6W3ZaPesXFm57cpar2z2OJ_5SQGMGwVHJgBtFNItNzWaC-E-WdoEDnkz6i6lCdteeEqxiTxGYcX8eF_GK2rQqAnK3e1SETIZU" TargetMode="External"/><Relationship Id="rId696" Type="http://schemas.openxmlformats.org/officeDocument/2006/relationships/hyperlink" Target="https://www.businesswire.com/news/home/20210222005281/en/Leading-Fintech-Apex-Clearing-Holdings-to-List-on-NYSE-Through-Merger-With-Northern-Star-Investment-Corp.-II" TargetMode="External"/><Relationship Id="rId1045" Type="http://schemas.openxmlformats.org/officeDocument/2006/relationships/hyperlink" Target="https://www.sec.gov/cgi-bin/browse-edgar?CIK=1843794" TargetMode="External"/><Relationship Id="rId211" Type="http://schemas.openxmlformats.org/officeDocument/2006/relationships/hyperlink" Target="https://www.sec.gov/cgi-bin/browse-edgar?CIK=1841338" TargetMode="External"/><Relationship Id="rId453" Type="http://schemas.openxmlformats.org/officeDocument/2006/relationships/hyperlink" Target="https://www.sec.gov/cgi-bin/browse-edgar?CIK=1816816" TargetMode="External"/><Relationship Id="rId695" Type="http://schemas.openxmlformats.org/officeDocument/2006/relationships/hyperlink" Target="https://www.sec.gov/cgi-bin/browse-edgar?CIK=1834518" TargetMode="External"/><Relationship Id="rId1046" Type="http://schemas.openxmlformats.org/officeDocument/2006/relationships/hyperlink" Target="https://www.sec.gov/cgi-bin/browse-edgar?CIK=1843783" TargetMode="External"/><Relationship Id="rId210" Type="http://schemas.openxmlformats.org/officeDocument/2006/relationships/hyperlink" Target="https://www.sec.gov/cgi-bin/browse-edgar?CIK=1842356" TargetMode="External"/><Relationship Id="rId452" Type="http://schemas.openxmlformats.org/officeDocument/2006/relationships/hyperlink" Target="https://www.sec.gov/Archives/edgar/data/1788841/000121390021007446/ea134831ex99-2_greenvision.htm" TargetMode="External"/><Relationship Id="rId694" Type="http://schemas.openxmlformats.org/officeDocument/2006/relationships/hyperlink" Target="https://www.sec.gov/Archives/edgar/data/1816017/000119312521063887/d655535dex992.htm" TargetMode="External"/><Relationship Id="rId1047" Type="http://schemas.openxmlformats.org/officeDocument/2006/relationships/hyperlink" Target="https://www.sec.gov/cgi-bin/browse-edgar?CIK=1845942" TargetMode="External"/><Relationship Id="rId491" Type="http://schemas.openxmlformats.org/officeDocument/2006/relationships/hyperlink" Target="https://www.sec.gov/cgi-bin/browse-edgar?CIK=1823034" TargetMode="External"/><Relationship Id="rId490" Type="http://schemas.openxmlformats.org/officeDocument/2006/relationships/hyperlink" Target="https://www.sec.gov/cgi-bin/browse-edgar?CIK=1850311" TargetMode="External"/><Relationship Id="rId249" Type="http://schemas.openxmlformats.org/officeDocument/2006/relationships/hyperlink" Target="https://www.sec.gov/cgi-bin/browse-edgar?CIK=1849030" TargetMode="External"/><Relationship Id="rId248" Type="http://schemas.openxmlformats.org/officeDocument/2006/relationships/hyperlink" Target="https://www.sec.gov/cgi-bin/browse-edgar?CIK=1825497" TargetMode="External"/><Relationship Id="rId247" Type="http://schemas.openxmlformats.org/officeDocument/2006/relationships/hyperlink" Target="https://www.sec.gov/Archives/edgar/data/1723648/000119312521008635/d104135dex992.htm" TargetMode="External"/><Relationship Id="rId489" Type="http://schemas.openxmlformats.org/officeDocument/2006/relationships/hyperlink" Target="https://www.sec.gov/cgi-bin/browse-edgar?CIK=1823776" TargetMode="External"/><Relationship Id="rId1070" Type="http://schemas.openxmlformats.org/officeDocument/2006/relationships/hyperlink" Target="https://www.sec.gov/cgi-bin/browse-edgar?CIK=1842270" TargetMode="External"/><Relationship Id="rId1071" Type="http://schemas.openxmlformats.org/officeDocument/2006/relationships/hyperlink" Target="https://www.sec.gov/cgi-bin/browse-edgar?CIK=1828134" TargetMode="External"/><Relationship Id="rId1072" Type="http://schemas.openxmlformats.org/officeDocument/2006/relationships/hyperlink" Target="https://www.sec.gov/cgi-bin/browse-edgar?CIK=1815302" TargetMode="External"/><Relationship Id="rId242" Type="http://schemas.openxmlformats.org/officeDocument/2006/relationships/hyperlink" Target="https://www.sec.gov/cgi-bin/browse-edgar?CIK=1827899" TargetMode="External"/><Relationship Id="rId484" Type="http://schemas.openxmlformats.org/officeDocument/2006/relationships/hyperlink" Target="https://www.prnewswire.com/news-releases/talkspace-to-merge-with-hudson-executive-investment-corp-forming-the-only-publicly-traded-pure-play-virtual-behavioral-health-company-301207080.html" TargetMode="External"/><Relationship Id="rId1073" Type="http://schemas.openxmlformats.org/officeDocument/2006/relationships/hyperlink" Target="https://www.sec.gov/cgi-bin/browse-edgar?CIK=1823587" TargetMode="External"/><Relationship Id="rId241" Type="http://schemas.openxmlformats.org/officeDocument/2006/relationships/hyperlink" Target="https://www.sec.gov/cgi-bin/browse-edgar?CIK=1805087" TargetMode="External"/><Relationship Id="rId483" Type="http://schemas.openxmlformats.org/officeDocument/2006/relationships/hyperlink" Target="https://www.sec.gov/cgi-bin/browse-edgar?CIK=1803901" TargetMode="External"/><Relationship Id="rId1074" Type="http://schemas.openxmlformats.org/officeDocument/2006/relationships/hyperlink" Target="https://www.sec.gov/cgi-bin/browse-edgar?CIK=1840859" TargetMode="External"/><Relationship Id="rId240" Type="http://schemas.openxmlformats.org/officeDocument/2006/relationships/hyperlink" Target="https://www.sec.gov/cgi-bin/browse-edgar?CIK=1848410" TargetMode="External"/><Relationship Id="rId482" Type="http://schemas.openxmlformats.org/officeDocument/2006/relationships/hyperlink" Target="https://www.sec.gov/cgi-bin/browse-edgar?CIK=1821768" TargetMode="External"/><Relationship Id="rId1075" Type="http://schemas.openxmlformats.org/officeDocument/2006/relationships/hyperlink" Target="https://www.sec.gov/cgi-bin/browse-edgar?CIK=1773086" TargetMode="External"/><Relationship Id="rId481" Type="http://schemas.openxmlformats.org/officeDocument/2006/relationships/hyperlink" Target="https://www.sec.gov/cgi-bin/browse-edgar?CIK=1842937" TargetMode="External"/><Relationship Id="rId1076" Type="http://schemas.openxmlformats.org/officeDocument/2006/relationships/hyperlink" Target="https://www.sec.gov/cgi-bin/browse-edgar?CIK=1844270" TargetMode="External"/><Relationship Id="rId246" Type="http://schemas.openxmlformats.org/officeDocument/2006/relationships/hyperlink" Target="https://www.businesswire.com/news/home/20210114005314/en/LiveVox-a-Leading-Cloud-Based-Contact-Center-Platform-to-Merge-with-Crescent-Acquisition-Corp-to-Become-a-Publicly-Traded-Company-in-an-840-Million-Transaction" TargetMode="External"/><Relationship Id="rId488" Type="http://schemas.openxmlformats.org/officeDocument/2006/relationships/hyperlink" Target="https://www.sec.gov/cgi-bin/browse-edgar?CIK=1824185" TargetMode="External"/><Relationship Id="rId1077" Type="http://schemas.openxmlformats.org/officeDocument/2006/relationships/hyperlink" Target="https://www.sec.gov/cgi-bin/browse-edgar?CIK=1823652" TargetMode="External"/><Relationship Id="rId245" Type="http://schemas.openxmlformats.org/officeDocument/2006/relationships/hyperlink" Target="https://www.sec.gov/cgi-bin/browse-edgar?CIK=1723648" TargetMode="External"/><Relationship Id="rId487" Type="http://schemas.openxmlformats.org/officeDocument/2006/relationships/hyperlink" Target="https://www.sec.gov/cgi-bin/browse-edgar?CIK=1822886" TargetMode="External"/><Relationship Id="rId1078" Type="http://schemas.openxmlformats.org/officeDocument/2006/relationships/hyperlink" Target="https://www.sec.gov/cgi-bin/browse-edgar?CIK=1849408" TargetMode="External"/><Relationship Id="rId244" Type="http://schemas.openxmlformats.org/officeDocument/2006/relationships/hyperlink" Target="https://www.sec.gov/cgi-bin/browse-edgar?CIK=1818212" TargetMode="External"/><Relationship Id="rId486" Type="http://schemas.openxmlformats.org/officeDocument/2006/relationships/hyperlink" Target="https://www.sec.gov/cgi-bin/browse-edgar?CIK=1842912" TargetMode="External"/><Relationship Id="rId1079" Type="http://schemas.openxmlformats.org/officeDocument/2006/relationships/hyperlink" Target="https://www.sec.gov/cgi-bin/browse-edgar?CIK=1828438" TargetMode="External"/><Relationship Id="rId243" Type="http://schemas.openxmlformats.org/officeDocument/2006/relationships/hyperlink" Target="https://www.sec.gov/cgi-bin/browse-edgar?CIK=1828608" TargetMode="External"/><Relationship Id="rId485" Type="http://schemas.openxmlformats.org/officeDocument/2006/relationships/hyperlink" Target="https://img1.wsimg.com/blobby/go/9e6e6b86-a97f-4cf9-bd84-1140064c1b3b/downloads/Talkspace%20Investor%20Presentation%20-%20January%202021.pdf?ver=1610536708770" TargetMode="External"/><Relationship Id="rId480" Type="http://schemas.openxmlformats.org/officeDocument/2006/relationships/hyperlink" Target="https://www.sec.gov/cgi-bin/browse-edgar?CIK=1843205" TargetMode="External"/><Relationship Id="rId239" Type="http://schemas.openxmlformats.org/officeDocument/2006/relationships/hyperlink" Target="https://www.sec.gov/cgi-bin/browse-edgar?CIK=1837160" TargetMode="External"/><Relationship Id="rId238" Type="http://schemas.openxmlformats.org/officeDocument/2006/relationships/hyperlink" Target="https://www.sec.gov/cgi-bin/browse-edgar?CIK=1842659" TargetMode="External"/><Relationship Id="rId237" Type="http://schemas.openxmlformats.org/officeDocument/2006/relationships/hyperlink" Target="https://www.sec.gov/cgi-bin/browse-edgar?CIK=1829953" TargetMode="External"/><Relationship Id="rId479" Type="http://schemas.openxmlformats.org/officeDocument/2006/relationships/hyperlink" Target="https://www.sec.gov/cgi-bin/browse-edgar?CIK=1845368" TargetMode="External"/><Relationship Id="rId236" Type="http://schemas.openxmlformats.org/officeDocument/2006/relationships/hyperlink" Target="https://www.sec.gov/cgi-bin/browse-edgar?CIK=1823000" TargetMode="External"/><Relationship Id="rId478" Type="http://schemas.openxmlformats.org/officeDocument/2006/relationships/hyperlink" Target="https://www.sec.gov/cgi-bin/browse-edgar?CIK=1823033" TargetMode="External"/><Relationship Id="rId1060" Type="http://schemas.openxmlformats.org/officeDocument/2006/relationships/hyperlink" Target="https://www.sec.gov/cgi-bin/browse-edgar?CIK=1847530" TargetMode="External"/><Relationship Id="rId1061" Type="http://schemas.openxmlformats.org/officeDocument/2006/relationships/hyperlink" Target="https://www.sec.gov/cgi-bin/browse-edgar?CIK=1851169" TargetMode="External"/><Relationship Id="rId231" Type="http://schemas.openxmlformats.org/officeDocument/2006/relationships/hyperlink" Target="https://www.sec.gov/cgi-bin/browse-edgar?CIK=1824301" TargetMode="External"/><Relationship Id="rId473" Type="http://schemas.openxmlformats.org/officeDocument/2006/relationships/hyperlink" Target="https://www.sec.gov/cgi-bin/browse-edgar?CIK=1833769" TargetMode="External"/><Relationship Id="rId1062" Type="http://schemas.openxmlformats.org/officeDocument/2006/relationships/hyperlink" Target="https://www.sec.gov/cgi-bin/browse-edgar?CIK=1850321" TargetMode="External"/><Relationship Id="rId230" Type="http://schemas.openxmlformats.org/officeDocument/2006/relationships/hyperlink" Target="https://www.sec.gov/cgi-bin/browse-edgar?CIK=1842431" TargetMode="External"/><Relationship Id="rId472" Type="http://schemas.openxmlformats.org/officeDocument/2006/relationships/hyperlink" Target="https://www.sec.gov/cgi-bin/browse-edgar?CIK=1847107" TargetMode="External"/><Relationship Id="rId1063" Type="http://schemas.openxmlformats.org/officeDocument/2006/relationships/hyperlink" Target="https://www.sec.gov/cgi-bin/browse-edgar?CIK=1847969" TargetMode="External"/><Relationship Id="rId471" Type="http://schemas.openxmlformats.org/officeDocument/2006/relationships/hyperlink" Target="https://www.sec.gov/cgi-bin/browse-edgar?CIK=1824013" TargetMode="External"/><Relationship Id="rId1064" Type="http://schemas.openxmlformats.org/officeDocument/2006/relationships/hyperlink" Target="https://www.sec.gov/cgi-bin/browse-edgar?CIK=1847200" TargetMode="External"/><Relationship Id="rId470" Type="http://schemas.openxmlformats.org/officeDocument/2006/relationships/hyperlink" Target="https://www.sec.gov/cgi-bin/browse-edgar?CIK=1826669" TargetMode="External"/><Relationship Id="rId1065" Type="http://schemas.openxmlformats.org/officeDocument/2006/relationships/hyperlink" Target="https://www.sec.gov/cgi-bin/browse-edgar?CIK=1850660" TargetMode="External"/><Relationship Id="rId235" Type="http://schemas.openxmlformats.org/officeDocument/2006/relationships/hyperlink" Target="https://www.sec.gov/cgi-bin/browse-edgar?CIK=1829615" TargetMode="External"/><Relationship Id="rId477" Type="http://schemas.openxmlformats.org/officeDocument/2006/relationships/hyperlink" Target="https://www.sec.gov/cgi-bin/browse-edgar?CIK=1829455" TargetMode="External"/><Relationship Id="rId1066" Type="http://schemas.openxmlformats.org/officeDocument/2006/relationships/hyperlink" Target="https://www.sec.gov/cgi-bin/browse-edgar?CIK=1851170" TargetMode="External"/><Relationship Id="rId234" Type="http://schemas.openxmlformats.org/officeDocument/2006/relationships/hyperlink" Target="https://www.sec.gov/cgi-bin/browse-edgar?CIK=1847986" TargetMode="External"/><Relationship Id="rId476" Type="http://schemas.openxmlformats.org/officeDocument/2006/relationships/hyperlink" Target="https://www.sec.gov/cgi-bin/browse-edgar?CIK=1846064" TargetMode="External"/><Relationship Id="rId1067" Type="http://schemas.openxmlformats.org/officeDocument/2006/relationships/hyperlink" Target="https://www.sec.gov/cgi-bin/browse-edgar?CIK=1849313" TargetMode="External"/><Relationship Id="rId233" Type="http://schemas.openxmlformats.org/officeDocument/2006/relationships/hyperlink" Target="https://www.sec.gov/cgi-bin/browse-edgar?CIK=1851961" TargetMode="External"/><Relationship Id="rId475" Type="http://schemas.openxmlformats.org/officeDocument/2006/relationships/hyperlink" Target="https://www.sec.gov/cgi-bin/browse-edgar?CIK=1822935" TargetMode="External"/><Relationship Id="rId1068" Type="http://schemas.openxmlformats.org/officeDocument/2006/relationships/hyperlink" Target="https://www.sec.gov/cgi-bin/browse-edgar?CIK=1849737" TargetMode="External"/><Relationship Id="rId232" Type="http://schemas.openxmlformats.org/officeDocument/2006/relationships/hyperlink" Target="https://www.sec.gov/cgi-bin/browse-edgar?CIK=1851959" TargetMode="External"/><Relationship Id="rId474" Type="http://schemas.openxmlformats.org/officeDocument/2006/relationships/hyperlink" Target="https://www.sec.gov/cgi-bin/browse-edgar?CIK=1824846" TargetMode="External"/><Relationship Id="rId1069" Type="http://schemas.openxmlformats.org/officeDocument/2006/relationships/hyperlink" Target="https://www.sec.gov/cgi-bin/browse-edgar?CIK=1850385" TargetMode="External"/><Relationship Id="rId1015" Type="http://schemas.openxmlformats.org/officeDocument/2006/relationships/hyperlink" Target="https://www.businesswire.com/news/home/20210111005532/en/Bakkt-the-Digital-Asset-Marketplace-Launched-by-Intercontinental-Exchange-in-2018-to-Become-a-Publicly-Traded-Company-via-Merger-with-VPC-Impact-Acquisition-Holdings" TargetMode="External"/><Relationship Id="rId1016" Type="http://schemas.openxmlformats.org/officeDocument/2006/relationships/hyperlink" Target="https://www.sec.gov/Archives/edgar/data/1820302/000119312521005832/d913171dex992.htm" TargetMode="External"/><Relationship Id="rId1017" Type="http://schemas.openxmlformats.org/officeDocument/2006/relationships/hyperlink" Target="https://www.sec.gov/cgi-bin/browse-edgar?CIK=1826011" TargetMode="External"/><Relationship Id="rId1018" Type="http://schemas.openxmlformats.org/officeDocument/2006/relationships/hyperlink" Target="https://www.sec.gov/cgi-bin/browse-edgar?CIK=1848004" TargetMode="External"/><Relationship Id="rId1019" Type="http://schemas.openxmlformats.org/officeDocument/2006/relationships/hyperlink" Target="https://www.sec.gov/cgi-bin/browse-edgar?CIK=1843091" TargetMode="External"/><Relationship Id="rId426" Type="http://schemas.openxmlformats.org/officeDocument/2006/relationships/hyperlink" Target="https://www.sec.gov/cgi-bin/browse-edgar?CIK=1770141" TargetMode="External"/><Relationship Id="rId668" Type="http://schemas.openxmlformats.org/officeDocument/2006/relationships/hyperlink" Target="https://www.sec.gov/cgi-bin/browse-edgar?CIK=1826018" TargetMode="External"/><Relationship Id="rId425" Type="http://schemas.openxmlformats.org/officeDocument/2006/relationships/hyperlink" Target="https://www.gigcapitalglobal.com/wp-content/uploads/Project-Power-Announcement-Deck_vF.pdf" TargetMode="External"/><Relationship Id="rId667" Type="http://schemas.openxmlformats.org/officeDocument/2006/relationships/hyperlink" Target="https://www.sec.gov/cgi-bin/browse-edgar?CIK=1837067" TargetMode="External"/><Relationship Id="rId424" Type="http://schemas.openxmlformats.org/officeDocument/2006/relationships/hyperlink" Target="https://www.businesswire.com/news/home/20201210006083/en/Urban-Commercial-Zero-Emission-Vehicle-Company-Lightning-eMotors-to-List-on-New-York-Stock-Exchange-Through-Merger-with-GigCapital3-Inc." TargetMode="External"/><Relationship Id="rId666" Type="http://schemas.openxmlformats.org/officeDocument/2006/relationships/hyperlink" Target="https://www.sec.gov/cgi-bin/browse-edgar?CIK=1849475" TargetMode="External"/><Relationship Id="rId423" Type="http://schemas.openxmlformats.org/officeDocument/2006/relationships/hyperlink" Target="https://www.sec.gov/cgi-bin/browse-edgar?CIK=1802749" TargetMode="External"/><Relationship Id="rId665" Type="http://schemas.openxmlformats.org/officeDocument/2006/relationships/hyperlink" Target="https://www.sec.gov/cgi-bin/browse-edgar?CIK=1831978" TargetMode="External"/><Relationship Id="rId429" Type="http://schemas.openxmlformats.org/officeDocument/2006/relationships/hyperlink" Target="https://www.sec.gov/cgi-bin/browse-edgar?CIK=1823383" TargetMode="External"/><Relationship Id="rId428" Type="http://schemas.openxmlformats.org/officeDocument/2006/relationships/hyperlink" Target="https://www.sec.gov/Archives/edgar/data/1770141/000119312520300620/d39021dex992.htm" TargetMode="External"/><Relationship Id="rId427" Type="http://schemas.openxmlformats.org/officeDocument/2006/relationships/hyperlink" Target="https://www.sec.gov/Archives/edgar/data/1770141/000119312520300620/d39021dex991.htm" TargetMode="External"/><Relationship Id="rId669" Type="http://schemas.openxmlformats.org/officeDocument/2006/relationships/hyperlink" Target="https://www.prnewswire.com/news-releases/rover-the-worlds-largest-network-of-five-star-pet-sitters-and-dog-walkers-announces-plans-to-become-a-public-company-via-a-merger-with-true-wind-capitals-spac-nebula-caravel-acquisition-corp-301226679.html" TargetMode="External"/><Relationship Id="rId660" Type="http://schemas.openxmlformats.org/officeDocument/2006/relationships/hyperlink" Target="https://www.sec.gov/cgi-bin/browse-edgar?CIK=1823882" TargetMode="External"/><Relationship Id="rId1010" Type="http://schemas.openxmlformats.org/officeDocument/2006/relationships/hyperlink" Target="https://www.prnewswire.com/news-releases/23andme-to-merge-with-virgin-groups-vg-acquisition-corp-to-become-publicly-traded-company-set-to-revolutionize-personalized-healthcare-and-therapeutic-development-through-human-genetics-301222219.html" TargetMode="External"/><Relationship Id="rId422" Type="http://schemas.openxmlformats.org/officeDocument/2006/relationships/hyperlink" Target="https://www.sec.gov/cgi-bin/browse-edgar?CIK=1841080" TargetMode="External"/><Relationship Id="rId664" Type="http://schemas.openxmlformats.org/officeDocument/2006/relationships/hyperlink" Target="https://www.sec.gov/cgi-bin/browse-edgar?CIK=1847888" TargetMode="External"/><Relationship Id="rId1011" Type="http://schemas.openxmlformats.org/officeDocument/2006/relationships/hyperlink" Target="https://www.sec.gov/Archives/edgar/data/1804591/000095010321001779/dp145636_ex9902.htm" TargetMode="External"/><Relationship Id="rId421" Type="http://schemas.openxmlformats.org/officeDocument/2006/relationships/hyperlink" Target="https://www.sec.gov/cgi-bin/browse-edgar?CIK=1836981" TargetMode="External"/><Relationship Id="rId663" Type="http://schemas.openxmlformats.org/officeDocument/2006/relationships/hyperlink" Target="https://www.sec.gov/cgi-bin/browse-edgar?CIK=1847890" TargetMode="External"/><Relationship Id="rId1012" Type="http://schemas.openxmlformats.org/officeDocument/2006/relationships/hyperlink" Target="https://www.sec.gov/cgi-bin/browse-edgar?CIK=1841761" TargetMode="External"/><Relationship Id="rId420" Type="http://schemas.openxmlformats.org/officeDocument/2006/relationships/hyperlink" Target="https://www.sec.gov/cgi-bin/browse-edgar?CIK=1844512" TargetMode="External"/><Relationship Id="rId662" Type="http://schemas.openxmlformats.org/officeDocument/2006/relationships/hyperlink" Target="https://www.sec.gov/Archives/edgar/data/1823882/000182912621001274/newbeginnings_ex99-2.htm" TargetMode="External"/><Relationship Id="rId1013" Type="http://schemas.openxmlformats.org/officeDocument/2006/relationships/hyperlink" Target="https://www.sec.gov/cgi-bin/browse-edgar?CIK=1823857" TargetMode="External"/><Relationship Id="rId661" Type="http://schemas.openxmlformats.org/officeDocument/2006/relationships/hyperlink" Target="https://www.businesswire.com/news/home/20210308005248/en/Airspan-Networks-a-Leading-5G-Technology-Company-to-Go-Public-through-Merger-with-New-Beginnings-Acquisition-Corp.-NYSE-American-NBA" TargetMode="External"/><Relationship Id="rId1014" Type="http://schemas.openxmlformats.org/officeDocument/2006/relationships/hyperlink" Target="https://www.sec.gov/cgi-bin/browse-edgar?CIK=1820302" TargetMode="External"/><Relationship Id="rId1004" Type="http://schemas.openxmlformats.org/officeDocument/2006/relationships/hyperlink" Target="https://www.sec.gov/cgi-bin/browse-edgar?CIK=1848898" TargetMode="External"/><Relationship Id="rId1005" Type="http://schemas.openxmlformats.org/officeDocument/2006/relationships/hyperlink" Target="https://www.sec.gov/cgi-bin/browse-edgar?CIK=1848948" TargetMode="External"/><Relationship Id="rId1006" Type="http://schemas.openxmlformats.org/officeDocument/2006/relationships/hyperlink" Target="https://www.sec.gov/cgi-bin/browse-edgar?CIK=1832371" TargetMode="External"/><Relationship Id="rId1007" Type="http://schemas.openxmlformats.org/officeDocument/2006/relationships/hyperlink" Target="https://www.sec.gov/cgi-bin/browse-edgar?CIK=1846764" TargetMode="External"/><Relationship Id="rId1008" Type="http://schemas.openxmlformats.org/officeDocument/2006/relationships/hyperlink" Target="https://www.sec.gov/cgi-bin/browse-edgar?CIK=1800392" TargetMode="External"/><Relationship Id="rId1009" Type="http://schemas.openxmlformats.org/officeDocument/2006/relationships/hyperlink" Target="https://www.sec.gov/cgi-bin/browse-edgar?CIK=1804591" TargetMode="External"/><Relationship Id="rId415" Type="http://schemas.openxmlformats.org/officeDocument/2006/relationships/hyperlink" Target="https://www.sec.gov/cgi-bin/browse-edgar?CIK=1806156" TargetMode="External"/><Relationship Id="rId657" Type="http://schemas.openxmlformats.org/officeDocument/2006/relationships/hyperlink" Target="https://www.sec.gov/Archives/edgar/data/1820727/000110465921046856/tm2112182d1_ex99-1.htm" TargetMode="External"/><Relationship Id="rId899" Type="http://schemas.openxmlformats.org/officeDocument/2006/relationships/hyperlink" Target="https://www.sec.gov/Archives/edgar/data/1758766/000110465920132220/tm2037633d1_ex99-2.htm" TargetMode="External"/><Relationship Id="rId414" Type="http://schemas.openxmlformats.org/officeDocument/2006/relationships/hyperlink" Target="https://www.sec.gov/cgi-bin/browse-edgar?CIK=1847127" TargetMode="External"/><Relationship Id="rId656" Type="http://schemas.openxmlformats.org/officeDocument/2006/relationships/hyperlink" Target="https://www.sec.gov/cgi-bin/browse-edgar?CIK=1820727" TargetMode="External"/><Relationship Id="rId898" Type="http://schemas.openxmlformats.org/officeDocument/2006/relationships/hyperlink" Target="https://www.businesswire.com/news/home/20201204005244/en/Stem-Inc.-%E2%80%93-Market-Leader-in-AI-Driven-Clean-Energy-Storage-Systems-%E2%80%93-to-Combine-with-Star-Peak-Creating-First-Public-Pure-Play-Smart-Energy-Storage-Company" TargetMode="External"/><Relationship Id="rId413" Type="http://schemas.openxmlformats.org/officeDocument/2006/relationships/hyperlink" Target="https://www.sec.gov/cgi-bin/browse-edgar?CIK=1818880" TargetMode="External"/><Relationship Id="rId655" Type="http://schemas.openxmlformats.org/officeDocument/2006/relationships/hyperlink" Target="https://www.sec.gov/cgi-bin/browse-edgar?CIK=1826667" TargetMode="External"/><Relationship Id="rId897" Type="http://schemas.openxmlformats.org/officeDocument/2006/relationships/hyperlink" Target="https://www.sec.gov/cgi-bin/browse-edgar?CIK=1758766" TargetMode="External"/><Relationship Id="rId412" Type="http://schemas.openxmlformats.org/officeDocument/2006/relationships/hyperlink" Target="https://www.sec.gov/cgi-bin/browse-edgar?CIK=1842966" TargetMode="External"/><Relationship Id="rId654" Type="http://schemas.openxmlformats.org/officeDocument/2006/relationships/hyperlink" Target="https://www.sec.gov/cgi-bin/browse-edgar?CIK=1846996" TargetMode="External"/><Relationship Id="rId896" Type="http://schemas.openxmlformats.org/officeDocument/2006/relationships/hyperlink" Target="https://www.sec.gov/cgi-bin/browse-edgar?CIK=1830210" TargetMode="External"/><Relationship Id="rId419" Type="http://schemas.openxmlformats.org/officeDocument/2006/relationships/hyperlink" Target="https://www.sec.gov/cgi-bin/browse-edgar?CIK=1844505" TargetMode="External"/><Relationship Id="rId418" Type="http://schemas.openxmlformats.org/officeDocument/2006/relationships/hyperlink" Target="https://www.sec.gov/Archives/edgar/data/1819394/000119312521031520/d42860dex992.htm" TargetMode="External"/><Relationship Id="rId417" Type="http://schemas.openxmlformats.org/officeDocument/2006/relationships/hyperlink" Target="https://www.prnewswire.com/news-releases/matterport-the-spatial-data-company-leading-the-digital-transformation-of-the-built-world-announces-proposed-business-combination-with-gores-holdings-vi-301223805.html" TargetMode="External"/><Relationship Id="rId659" Type="http://schemas.openxmlformats.org/officeDocument/2006/relationships/hyperlink" Target="https://www.sec.gov/cgi-bin/browse-edgar?CIK=1830063" TargetMode="External"/><Relationship Id="rId416" Type="http://schemas.openxmlformats.org/officeDocument/2006/relationships/hyperlink" Target="https://www.sec.gov/cgi-bin/browse-edgar?CIK=1819394" TargetMode="External"/><Relationship Id="rId658" Type="http://schemas.openxmlformats.org/officeDocument/2006/relationships/hyperlink" Target="https://www.sec.gov/Archives/edgar/data/1820727/000110465921046856/tm2112182d1_ex99-2.htm" TargetMode="External"/><Relationship Id="rId891" Type="http://schemas.openxmlformats.org/officeDocument/2006/relationships/hyperlink" Target="https://www.sec.gov/Archives/edgar/data/1779474/000095010320024045/dp142700_ex9902.htm" TargetMode="External"/><Relationship Id="rId890" Type="http://schemas.openxmlformats.org/officeDocument/2006/relationships/hyperlink" Target="https://www.businesswire.com/news/home/20201210005302/en/WM-Holding-Company-LLC-the-Leading-Technology-Platform-to-the-Cannabis-Industry-to-List-on-Nasdaq-Through-Merger-With-Silver-Spike-Acquisition-Corp" TargetMode="External"/><Relationship Id="rId411" Type="http://schemas.openxmlformats.org/officeDocument/2006/relationships/hyperlink" Target="https://www.sec.gov/cgi-bin/browse-edgar?CIK=1823896" TargetMode="External"/><Relationship Id="rId653" Type="http://schemas.openxmlformats.org/officeDocument/2006/relationships/hyperlink" Target="https://www.sec.gov/cgi-bin/browse-edgar?CIK=1836517" TargetMode="External"/><Relationship Id="rId895" Type="http://schemas.openxmlformats.org/officeDocument/2006/relationships/hyperlink" Target="https://www.sec.gov/cgi-bin/browse-edgar?CIK=1849543" TargetMode="External"/><Relationship Id="rId1000" Type="http://schemas.openxmlformats.org/officeDocument/2006/relationships/hyperlink" Target="https://www.sec.gov/cgi-bin/browse-edgar?CIK=1820190" TargetMode="External"/><Relationship Id="rId410" Type="http://schemas.openxmlformats.org/officeDocument/2006/relationships/hyperlink" Target="https://www.sec.gov/cgi-bin/browse-edgar?CIK=1845459" TargetMode="External"/><Relationship Id="rId652" Type="http://schemas.openxmlformats.org/officeDocument/2006/relationships/hyperlink" Target="https://www.sec.gov/cgi-bin/browse-edgar?CIK=1830180" TargetMode="External"/><Relationship Id="rId894" Type="http://schemas.openxmlformats.org/officeDocument/2006/relationships/hyperlink" Target="https://www.sec.gov/Archives/edgar/data/1819574/000119312520319637/d93086dex992.htm" TargetMode="External"/><Relationship Id="rId1001" Type="http://schemas.openxmlformats.org/officeDocument/2006/relationships/hyperlink" Target="https://www.sec.gov/cgi-bin/browse-edgar?CIK=1821595" TargetMode="External"/><Relationship Id="rId651" Type="http://schemas.openxmlformats.org/officeDocument/2006/relationships/hyperlink" Target="https://www.sec.gov/cgi-bin/browse-edgar?CIK=1841993" TargetMode="External"/><Relationship Id="rId893" Type="http://schemas.openxmlformats.org/officeDocument/2006/relationships/hyperlink" Target="https://www.prnewswire.com/news-releases/bark-a-leading-brand-for-dogs-to-list-on-nyse-through-merger-with-northern-star-acquisition-corp-301194826.html" TargetMode="External"/><Relationship Id="rId1002" Type="http://schemas.openxmlformats.org/officeDocument/2006/relationships/hyperlink" Target="https://www.businesswire.com/news/home/20210203005257/en/REE-Automotive-to-List-on-NASDAQ-Through-Merger-with-10X-Capital-Venture-Acquisition-Corp" TargetMode="External"/><Relationship Id="rId650" Type="http://schemas.openxmlformats.org/officeDocument/2006/relationships/hyperlink" Target="https://www.sec.gov/cgi-bin/browse-edgar?CIK=1827821" TargetMode="External"/><Relationship Id="rId892" Type="http://schemas.openxmlformats.org/officeDocument/2006/relationships/hyperlink" Target="https://www.sec.gov/cgi-bin/browse-edgar?CIK=1819574" TargetMode="External"/><Relationship Id="rId1003" Type="http://schemas.openxmlformats.org/officeDocument/2006/relationships/hyperlink" Target="https://www.sec.gov/Archives/edgar/data/1821595/000121390021006323/ea134517ex99-1_10xcapital.htm" TargetMode="External"/><Relationship Id="rId1037" Type="http://schemas.openxmlformats.org/officeDocument/2006/relationships/hyperlink" Target="https://www.sec.gov/cgi-bin/browse-edgar?CIK=1836075" TargetMode="External"/><Relationship Id="rId1038" Type="http://schemas.openxmlformats.org/officeDocument/2006/relationships/hyperlink" Target="https://www.sec.gov/cgi-bin/browse-edgar?CIK=1836074" TargetMode="External"/><Relationship Id="rId1039" Type="http://schemas.openxmlformats.org/officeDocument/2006/relationships/hyperlink" Target="https://www.sec.gov/cgi-bin/browse-edgar?CIK=1809104" TargetMode="External"/><Relationship Id="rId206" Type="http://schemas.openxmlformats.org/officeDocument/2006/relationships/hyperlink" Target="https://www.prnewswire.com/news-releases/renovacor-inc-to-merge-with-chardan-healthcare-acquisition-2-corp-301253787.html" TargetMode="External"/><Relationship Id="rId448" Type="http://schemas.openxmlformats.org/officeDocument/2006/relationships/hyperlink" Target="https://www.sec.gov/cgi-bin/browse-edgar?CIK=1845457" TargetMode="External"/><Relationship Id="rId205" Type="http://schemas.openxmlformats.org/officeDocument/2006/relationships/hyperlink" Target="https://www.sec.gov/cgi-bin/browse-edgar?CIK=1799850" TargetMode="External"/><Relationship Id="rId447" Type="http://schemas.openxmlformats.org/officeDocument/2006/relationships/hyperlink" Target="https://www.sec.gov/cgi-bin/browse-edgar?CIK=1834526" TargetMode="External"/><Relationship Id="rId689" Type="http://schemas.openxmlformats.org/officeDocument/2006/relationships/hyperlink" Target="https://www.sec.gov/cgi-bin/browse-edgar?CIK=1837929" TargetMode="External"/><Relationship Id="rId204" Type="http://schemas.openxmlformats.org/officeDocument/2006/relationships/hyperlink" Target="https://www.sec.gov/cgi-bin/browse-edgar?CIK=1848885" TargetMode="External"/><Relationship Id="rId446" Type="http://schemas.openxmlformats.org/officeDocument/2006/relationships/hyperlink" Target="https://www.sec.gov/cgi-bin/browse-edgar?CIK=1831979" TargetMode="External"/><Relationship Id="rId688" Type="http://schemas.openxmlformats.org/officeDocument/2006/relationships/hyperlink" Target="https://www.sec.gov/Archives/edgar/data/1780312/000121390020042897/ea131629ex99-2_newprovidence.htm" TargetMode="External"/><Relationship Id="rId203" Type="http://schemas.openxmlformats.org/officeDocument/2006/relationships/hyperlink" Target="https://www.sec.gov/cgi-bin/browse-edgar?CIK=1838293" TargetMode="External"/><Relationship Id="rId445" Type="http://schemas.openxmlformats.org/officeDocument/2006/relationships/hyperlink" Target="https://www.sec.gov/cgi-bin/browse-edgar?CIK=1816176" TargetMode="External"/><Relationship Id="rId687" Type="http://schemas.openxmlformats.org/officeDocument/2006/relationships/hyperlink" Target="https://www.prnewswire.com/news-releases/ast--science-llc-to-become-public-company-through-combination-with-new-providence-acquisition-corp--nasdaq-npa-npauu-and-npaww-301193934.html" TargetMode="External"/><Relationship Id="rId209" Type="http://schemas.openxmlformats.org/officeDocument/2006/relationships/hyperlink" Target="https://www.sec.gov/cgi-bin/browse-edgar?CIK=1785041" TargetMode="External"/><Relationship Id="rId208" Type="http://schemas.openxmlformats.org/officeDocument/2006/relationships/hyperlink" Target="https://www.sec.gov/cgi-bin/browse-edgar?CIK=1824893" TargetMode="External"/><Relationship Id="rId207" Type="http://schemas.openxmlformats.org/officeDocument/2006/relationships/hyperlink" Target="https://www.prnewswire.com/news-releases/renovacor-inc-to-merge-with-chardan-healthcare-acquisition-2-corp-301253787.html" TargetMode="External"/><Relationship Id="rId449" Type="http://schemas.openxmlformats.org/officeDocument/2006/relationships/hyperlink" Target="https://www.sec.gov/cgi-bin/browse-edgar?CIK=1768910" TargetMode="External"/><Relationship Id="rId440" Type="http://schemas.openxmlformats.org/officeDocument/2006/relationships/hyperlink" Target="https://www.prnewswire.com/news-releases/redwire-an-innovative-space-infrastructure-company-serving-the-fast-growing-space-industry-to-become-publicly-traded-through-merger-with-genesis-park-acquisition-corp-301255761.html" TargetMode="External"/><Relationship Id="rId682" Type="http://schemas.openxmlformats.org/officeDocument/2006/relationships/hyperlink" Target="https://www.sec.gov/Archives/edgar/data/1805385/000121390021013856/ea137148ex99-2_newholdinves.htm" TargetMode="External"/><Relationship Id="rId681" Type="http://schemas.openxmlformats.org/officeDocument/2006/relationships/hyperlink" Target="https://www.businesswire.com/news/home/20210308005280/en/Evolv-Technology-the-Leader-in-AI-Enabled-Touchless-Security-Screening-to-Become-Publicly-Traded-Through-Merger-with-NewHold-Investment-Corp." TargetMode="External"/><Relationship Id="rId1030" Type="http://schemas.openxmlformats.org/officeDocument/2006/relationships/hyperlink" Target="https://www.sec.gov/cgi-bin/browse-edgar?CIK=1823884" TargetMode="External"/><Relationship Id="rId680" Type="http://schemas.openxmlformats.org/officeDocument/2006/relationships/hyperlink" Target="https://www.sec.gov/cgi-bin/browse-edgar?CIK=1805385" TargetMode="External"/><Relationship Id="rId1031" Type="http://schemas.openxmlformats.org/officeDocument/2006/relationships/hyperlink" Target="https://www.sec.gov/cgi-bin/browse-edgar?CIK=1822877" TargetMode="External"/><Relationship Id="rId1032" Type="http://schemas.openxmlformats.org/officeDocument/2006/relationships/hyperlink" Target="https://www.sec.gov/cgi-bin/browse-edgar?CIK=1840199" TargetMode="External"/><Relationship Id="rId202" Type="http://schemas.openxmlformats.org/officeDocument/2006/relationships/hyperlink" Target="https://innoviz.tech/wp-content/uploads/Project-Ignition-Announcement-Presentation_FinalDec11.pdf" TargetMode="External"/><Relationship Id="rId444" Type="http://schemas.openxmlformats.org/officeDocument/2006/relationships/hyperlink" Target="https://www.sec.gov/Archives/edgar/data/1790665/000121390021016370/ea137829ex99-3_greenroseacq.htm" TargetMode="External"/><Relationship Id="rId686" Type="http://schemas.openxmlformats.org/officeDocument/2006/relationships/hyperlink" Target="https://www.sec.gov/cgi-bin/browse-edgar?CIK=1780312" TargetMode="External"/><Relationship Id="rId1033" Type="http://schemas.openxmlformats.org/officeDocument/2006/relationships/hyperlink" Target="https://www.sec.gov/cgi-bin/browse-edgar?CIK=1820209" TargetMode="External"/><Relationship Id="rId201" Type="http://schemas.openxmlformats.org/officeDocument/2006/relationships/hyperlink" Target="https://www.prnewswire.com/news-releases/innoviz-technologies-a-global-leader-in-lidar-sensors-and-perception-software-for-autonomous-driving-to-be-listed-on-nasdaq-through-business-combination-with-collective-growth-corporation-301191049.html" TargetMode="External"/><Relationship Id="rId443" Type="http://schemas.openxmlformats.org/officeDocument/2006/relationships/hyperlink" Target="https://www.globenewswire.com/news-release/2021/03/15/2192649/0/en/Greenrose-Acquisition-Corp-to-Acquire-Four-Cannabis-Companies-Creating-a-Vertically-Integrated-and-Cash-Flow-Positive-Platform-Positioned-for-Significant-Growth.html" TargetMode="External"/><Relationship Id="rId685" Type="http://schemas.openxmlformats.org/officeDocument/2006/relationships/hyperlink" Target="https://www.sec.gov/cgi-bin/browse-edgar?CIK=1824888" TargetMode="External"/><Relationship Id="rId1034" Type="http://schemas.openxmlformats.org/officeDocument/2006/relationships/hyperlink" Target="https://www.sec.gov/cgi-bin/browse-edgar?CIK=1849580" TargetMode="External"/><Relationship Id="rId200" Type="http://schemas.openxmlformats.org/officeDocument/2006/relationships/hyperlink" Target="https://www.sec.gov/cgi-bin/browse-edgar?CIK=1799611" TargetMode="External"/><Relationship Id="rId442" Type="http://schemas.openxmlformats.org/officeDocument/2006/relationships/hyperlink" Target="https://www.sec.gov/cgi-bin/browse-edgar?CIK=1790665" TargetMode="External"/><Relationship Id="rId684" Type="http://schemas.openxmlformats.org/officeDocument/2006/relationships/hyperlink" Target="https://www.sec.gov/cgi-bin/browse-edgar?CIK=1819157" TargetMode="External"/><Relationship Id="rId1035" Type="http://schemas.openxmlformats.org/officeDocument/2006/relationships/hyperlink" Target="https://www.sec.gov/cgi-bin/browse-edgar?CIK=1842760" TargetMode="External"/><Relationship Id="rId441" Type="http://schemas.openxmlformats.org/officeDocument/2006/relationships/hyperlink" Target="https://www.sec.gov/Archives/edgar/data/1819810/000119312521093279/d76989dex992.htm" TargetMode="External"/><Relationship Id="rId683" Type="http://schemas.openxmlformats.org/officeDocument/2006/relationships/hyperlink" Target="https://www.sec.gov/cgi-bin/browse-edgar?CIK=1852931" TargetMode="External"/><Relationship Id="rId1036" Type="http://schemas.openxmlformats.org/officeDocument/2006/relationships/hyperlink" Target="https://www.sec.gov/cgi-bin/browse-edgar?CIK=1843714" TargetMode="External"/><Relationship Id="rId1026" Type="http://schemas.openxmlformats.org/officeDocument/2006/relationships/hyperlink" Target="https://www.sec.gov/cgi-bin/browse-edgar?CIK=1818093" TargetMode="External"/><Relationship Id="rId1027" Type="http://schemas.openxmlformats.org/officeDocument/2006/relationships/hyperlink" Target="https://www.businesswire.com/news/home/20201209005485/en/HydraFacial-an-Experiential-Beauty-Health-Company-and-Vesper-Healthcare-Announce-Business-Combination" TargetMode="External"/><Relationship Id="rId1028" Type="http://schemas.openxmlformats.org/officeDocument/2006/relationships/hyperlink" Target="https://www.sec.gov/Archives/edgar/data/1818093/000121390020041690/ea131234ex99-2_vesperhealth.htm" TargetMode="External"/><Relationship Id="rId1029" Type="http://schemas.openxmlformats.org/officeDocument/2006/relationships/hyperlink" Target="https://www.sec.gov/cgi-bin/browse-edgar?CIK=1822145" TargetMode="External"/><Relationship Id="rId437" Type="http://schemas.openxmlformats.org/officeDocument/2006/relationships/hyperlink" Target="https://www.sec.gov/cgi-bin/browse-edgar?CIK=1819395" TargetMode="External"/><Relationship Id="rId679" Type="http://schemas.openxmlformats.org/officeDocument/2006/relationships/hyperlink" Target="https://www.sec.gov/cgi-bin/browse-edgar?CIK=1843388" TargetMode="External"/><Relationship Id="rId436" Type="http://schemas.openxmlformats.org/officeDocument/2006/relationships/hyperlink" Target="https://www.sec.gov/cgi-bin/browse-edgar?CIK=1836190" TargetMode="External"/><Relationship Id="rId678" Type="http://schemas.openxmlformats.org/officeDocument/2006/relationships/hyperlink" Target="https://www.sec.gov/cgi-bin/browse-edgar?CIK=1843249" TargetMode="External"/><Relationship Id="rId435" Type="http://schemas.openxmlformats.org/officeDocument/2006/relationships/hyperlink" Target="https://www.sec.gov/cgi-bin/browse-edgar?CIK=1852767" TargetMode="External"/><Relationship Id="rId677" Type="http://schemas.openxmlformats.org/officeDocument/2006/relationships/hyperlink" Target="https://www.sec.gov/Archives/edgar/data/1819493/000121390021010735/ea136126ex99-2_nextgenacq.htm" TargetMode="External"/><Relationship Id="rId434" Type="http://schemas.openxmlformats.org/officeDocument/2006/relationships/hyperlink" Target="https://www.sec.gov/cgi-bin/browse-edgar?CIK=1821169" TargetMode="External"/><Relationship Id="rId676" Type="http://schemas.openxmlformats.org/officeDocument/2006/relationships/hyperlink" Target="https://www.businesswire.com/news/home/20210222005244/en/Xos-a-Leading-Commercial-Electric-Vehicle-OEM-to-Become-Publicly-Traded-on-Nasdaq-Through-Merger-with-NextGen-Acquisition-Corporation" TargetMode="External"/><Relationship Id="rId439" Type="http://schemas.openxmlformats.org/officeDocument/2006/relationships/hyperlink" Target="https://www.sec.gov/cgi-bin/browse-edgar?CIK=1819810" TargetMode="External"/><Relationship Id="rId438" Type="http://schemas.openxmlformats.org/officeDocument/2006/relationships/hyperlink" Target="https://www.sec.gov/cgi-bin/browse-edgar?CIK=1832250" TargetMode="External"/><Relationship Id="rId671" Type="http://schemas.openxmlformats.org/officeDocument/2006/relationships/hyperlink" Target="https://www.sec.gov/cgi-bin/browse-edgar?CIK=1815495" TargetMode="External"/><Relationship Id="rId670" Type="http://schemas.openxmlformats.org/officeDocument/2006/relationships/hyperlink" Target="https://www.sec.gov/Archives/edgar/data/1826018/000119312521037557/d63727dex992.htm" TargetMode="External"/><Relationship Id="rId1020" Type="http://schemas.openxmlformats.org/officeDocument/2006/relationships/hyperlink" Target="https://www.sec.gov/cgi-bin/browse-edgar?CIK=1810491" TargetMode="External"/><Relationship Id="rId1021" Type="http://schemas.openxmlformats.org/officeDocument/2006/relationships/hyperlink" Target="https://www.globenewswire.com/news-release/2021/03/03/2186096/0/en/Anghami-the-leading-music-streaming-platform-in-the-Middle-East-and-North-Africa-to-merge-with-Vistas-Media-Acquisition-Company-Inc-to-become-first-Arab-technology-company-to-list-.html" TargetMode="External"/><Relationship Id="rId433" Type="http://schemas.openxmlformats.org/officeDocument/2006/relationships/hyperlink" Target="https://www.sec.gov/cgi-bin/browse-edgar?CIK=1841734" TargetMode="External"/><Relationship Id="rId675" Type="http://schemas.openxmlformats.org/officeDocument/2006/relationships/hyperlink" Target="https://www.sec.gov/cgi-bin/browse-edgar?CIK=1819493" TargetMode="External"/><Relationship Id="rId1022" Type="http://schemas.openxmlformats.org/officeDocument/2006/relationships/hyperlink" Target="https://www.sec.gov/Archives/edgar/data/1810491/000121390021013330/ea136976ex99-2_vistas.htm" TargetMode="External"/><Relationship Id="rId432" Type="http://schemas.openxmlformats.org/officeDocument/2006/relationships/hyperlink" Target="https://www.sec.gov/cgi-bin/browse-edgar?CIK=1784851" TargetMode="External"/><Relationship Id="rId674" Type="http://schemas.openxmlformats.org/officeDocument/2006/relationships/hyperlink" Target="https://www.sec.gov/cgi-bin/browse-edgar?CIK=1827980" TargetMode="External"/><Relationship Id="rId1023" Type="http://schemas.openxmlformats.org/officeDocument/2006/relationships/hyperlink" Target="https://www.sec.gov/cgi-bin/browse-edgar?CIK=1822888" TargetMode="External"/><Relationship Id="rId431" Type="http://schemas.openxmlformats.org/officeDocument/2006/relationships/hyperlink" Target="https://www.sec.gov/cgi-bin/browse-edgar?CIK=1843248" TargetMode="External"/><Relationship Id="rId673" Type="http://schemas.openxmlformats.org/officeDocument/2006/relationships/hyperlink" Target="https://www.sec.gov/Archives/edgar/data/1815495/000121390020039789/ea130701ex99-3_northerngen.htm" TargetMode="External"/><Relationship Id="rId1024" Type="http://schemas.openxmlformats.org/officeDocument/2006/relationships/hyperlink" Target="https://www.sec.gov/cgi-bin/browse-edgar?CIK=1840792" TargetMode="External"/><Relationship Id="rId430" Type="http://schemas.openxmlformats.org/officeDocument/2006/relationships/hyperlink" Target="https://www.sec.gov/cgi-bin/browse-edgar?CIK=1838615" TargetMode="External"/><Relationship Id="rId672" Type="http://schemas.openxmlformats.org/officeDocument/2006/relationships/hyperlink" Target="https://www.businesswire.com/news/home/20201130005465/en/The-Lion-Electric-Company-and-Northern-Genesis-Acquisition-Corp.-Announce-Merger-and-Commitments-for-200-Million-in-a-PIPE-Combined-Company-Expected-to-be-Listed-on-NYSE" TargetMode="External"/><Relationship Id="rId1025" Type="http://schemas.openxmlformats.org/officeDocument/2006/relationships/hyperlink" Target="https://www.sec.gov/cgi-bin/browse-edgar?CIK=184140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spactrack.net/contact"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4.0" topLeftCell="C5" activePane="bottomRight" state="frozen"/>
      <selection activeCell="C1" sqref="C1" pane="topRight"/>
      <selection activeCell="A5" sqref="A5" pane="bottomLeft"/>
      <selection activeCell="C5" sqref="C5" pane="bottomRight"/>
    </sheetView>
  </sheetViews>
  <sheetFormatPr customHeight="1" defaultColWidth="14.43" defaultRowHeight="15.75"/>
  <cols>
    <col customWidth="1" min="1" max="1" width="10.71"/>
    <col customWidth="1" min="2" max="2" width="30.57"/>
    <col customWidth="1" min="3" max="5" width="23.29"/>
    <col customWidth="1" min="6" max="6" width="37.57"/>
    <col customWidth="1" min="7" max="7" width="16.29"/>
    <col customWidth="1" min="8" max="8" width="15.71"/>
    <col customWidth="1" min="9" max="9" width="17.14"/>
    <col customWidth="1" min="10" max="10" width="17.57"/>
    <col customWidth="1" min="11" max="11" width="16.29"/>
    <col customWidth="1" min="12" max="15" width="23.29"/>
    <col customWidth="1" min="16" max="16" width="14.14"/>
    <col customWidth="1" min="17" max="17" width="15.0"/>
    <col customWidth="1" min="18" max="33" width="23.29"/>
  </cols>
  <sheetData>
    <row r="1">
      <c r="A1" s="1"/>
      <c r="B1" s="1" t="s">
        <v>0</v>
      </c>
      <c r="C1" s="2"/>
      <c r="D1" s="3" t="s">
        <v>1</v>
      </c>
      <c r="L1" s="2"/>
      <c r="M1" s="2"/>
      <c r="N1" s="2"/>
      <c r="O1" s="2"/>
      <c r="P1" s="4"/>
      <c r="Q1" s="5"/>
      <c r="R1" s="2"/>
      <c r="S1" s="2"/>
      <c r="T1" s="2"/>
      <c r="U1" s="2"/>
      <c r="V1" s="6"/>
      <c r="W1" s="6"/>
      <c r="X1" s="7"/>
      <c r="Y1" s="7"/>
      <c r="Z1" s="7"/>
      <c r="AA1" s="7"/>
      <c r="AB1" s="7"/>
      <c r="AC1" s="7"/>
      <c r="AD1" s="6"/>
      <c r="AE1" s="6"/>
      <c r="AF1" s="8"/>
      <c r="AG1" s="7"/>
    </row>
    <row r="2">
      <c r="A2" s="1"/>
      <c r="C2" s="2"/>
      <c r="D2" s="9" t="s">
        <v>2</v>
      </c>
      <c r="E2" s="10"/>
      <c r="F2" s="10"/>
      <c r="G2" s="11"/>
      <c r="H2" s="12"/>
      <c r="I2" s="13"/>
      <c r="J2" s="13"/>
      <c r="K2" s="14"/>
      <c r="L2" s="15"/>
      <c r="M2" s="15"/>
      <c r="N2" s="15"/>
      <c r="O2" s="16"/>
      <c r="P2" s="17"/>
      <c r="Q2" s="18"/>
      <c r="R2" s="19"/>
      <c r="S2" s="15"/>
      <c r="T2" s="20"/>
      <c r="U2" s="20"/>
      <c r="V2" s="21"/>
      <c r="W2" s="21"/>
      <c r="X2" s="22"/>
      <c r="Y2" s="22"/>
      <c r="Z2" s="23"/>
      <c r="AA2" s="23"/>
      <c r="AB2" s="23"/>
      <c r="AC2" s="23"/>
      <c r="AD2" s="21"/>
      <c r="AE2" s="21"/>
      <c r="AF2" s="24"/>
      <c r="AG2" s="23"/>
    </row>
    <row r="3">
      <c r="A3" s="25" t="s">
        <v>3</v>
      </c>
      <c r="B3" s="26"/>
      <c r="C3" s="26"/>
      <c r="D3" s="26"/>
      <c r="E3" s="26"/>
      <c r="F3" s="26"/>
      <c r="G3" s="27"/>
      <c r="H3" s="28" t="s">
        <v>4</v>
      </c>
      <c r="I3" s="29"/>
      <c r="J3" s="29"/>
      <c r="K3" s="29"/>
      <c r="L3" s="29"/>
      <c r="M3" s="29"/>
      <c r="N3" s="29"/>
      <c r="O3" s="30"/>
      <c r="P3" s="31" t="s">
        <v>5</v>
      </c>
      <c r="Q3" s="29"/>
      <c r="R3" s="29"/>
      <c r="S3" s="29"/>
      <c r="T3" s="29"/>
      <c r="U3" s="29"/>
      <c r="V3" s="30"/>
      <c r="W3" s="32" t="s">
        <v>6</v>
      </c>
      <c r="X3" s="29"/>
      <c r="Y3" s="29"/>
      <c r="Z3" s="29"/>
      <c r="AA3" s="29"/>
      <c r="AB3" s="29"/>
      <c r="AC3" s="29"/>
      <c r="AD3" s="29"/>
      <c r="AE3" s="29"/>
      <c r="AF3" s="29"/>
      <c r="AG3" s="30"/>
    </row>
    <row r="4">
      <c r="A4" s="33" t="s">
        <v>7</v>
      </c>
      <c r="B4" s="34" t="s">
        <v>8</v>
      </c>
      <c r="C4" s="35" t="s">
        <v>9</v>
      </c>
      <c r="D4" s="36" t="s">
        <v>10</v>
      </c>
      <c r="E4" s="36" t="s">
        <v>11</v>
      </c>
      <c r="F4" s="37" t="s">
        <v>12</v>
      </c>
      <c r="G4" s="38" t="s">
        <v>13</v>
      </c>
      <c r="H4" s="39" t="s">
        <v>14</v>
      </c>
      <c r="I4" s="40" t="s">
        <v>15</v>
      </c>
      <c r="J4" s="34" t="s">
        <v>16</v>
      </c>
      <c r="K4" s="41" t="s">
        <v>17</v>
      </c>
      <c r="L4" s="42" t="s">
        <v>18</v>
      </c>
      <c r="M4" s="42" t="s">
        <v>19</v>
      </c>
      <c r="N4" s="42" t="s">
        <v>20</v>
      </c>
      <c r="O4" s="41" t="s">
        <v>21</v>
      </c>
      <c r="P4" s="43" t="s">
        <v>22</v>
      </c>
      <c r="Q4" s="44" t="s">
        <v>23</v>
      </c>
      <c r="R4" s="45" t="s">
        <v>24</v>
      </c>
      <c r="S4" s="45" t="s">
        <v>25</v>
      </c>
      <c r="T4" s="42" t="s">
        <v>26</v>
      </c>
      <c r="U4" s="42" t="s">
        <v>27</v>
      </c>
      <c r="V4" s="46" t="s">
        <v>28</v>
      </c>
      <c r="W4" s="47" t="s">
        <v>29</v>
      </c>
      <c r="X4" s="48" t="s">
        <v>30</v>
      </c>
      <c r="Y4" s="45" t="s">
        <v>31</v>
      </c>
      <c r="Z4" s="49" t="s">
        <v>32</v>
      </c>
      <c r="AA4" s="50" t="s">
        <v>33</v>
      </c>
      <c r="AB4" s="33" t="s">
        <v>34</v>
      </c>
      <c r="AC4" s="51" t="s">
        <v>35</v>
      </c>
      <c r="AD4" s="51" t="s">
        <v>36</v>
      </c>
      <c r="AE4" s="34" t="s">
        <v>37</v>
      </c>
      <c r="AF4" s="52" t="s">
        <v>38</v>
      </c>
      <c r="AG4" s="53" t="s">
        <v>39</v>
      </c>
    </row>
    <row r="5">
      <c r="A5" s="54" t="str">
        <f>IFERROR(__xludf.DUMMYFUNCTION("importrange(""https://docs.google.com/spreadsheets/d/1bRrwZZasEHNQaX4hzkMhAYS_XsxByPxpkyxx4LG1u-s/edit#gid=244840082"", ""Cards!A4:Ag2000"")"),"AAC")</f>
        <v>AAC</v>
      </c>
      <c r="B5" s="55" t="str">
        <f>IFERROR(__xludf.DUMMYFUNCTION("""COMPUTED_VALUE"""),"Ares Acquisition Corporation")</f>
        <v>Ares Acquisition Corporation</v>
      </c>
      <c r="C5" s="56" t="str">
        <f>IFERROR(__xludf.DUMMYFUNCTION("""COMPUTED_VALUE"""),"Searching")</f>
        <v>Searching</v>
      </c>
      <c r="D5" s="57"/>
      <c r="E5" s="58"/>
      <c r="F5" s="59" t="str">
        <f>IFERROR(__xludf.DUMMYFUNCTION("""COMPUTED_VALUE"""),"David Kaplan (Co-Founder/Director, Ares Management), Kathryn Marinello (CEO, PODS; Fmr CEO, Hertz; Director, AB Volvo; Fmr Director, GM)")</f>
        <v>David Kaplan (Co-Founder/Director, Ares Management), Kathryn Marinello (CEO, PODS; Fmr CEO, Hertz; Director, AB Volvo; Fmr Director, GM)</v>
      </c>
      <c r="G5" s="60">
        <f>IFERROR(__xludf.DUMMYFUNCTION("""COMPUTED_VALUE"""),1.0E9)</f>
        <v>1000000000</v>
      </c>
      <c r="H5" s="60"/>
      <c r="I5" s="61">
        <f>IFERROR(__xludf.DUMMYFUNCTION("""COMPUTED_VALUE"""),9.8752)</f>
        <v>9.8752</v>
      </c>
      <c r="J5" s="62">
        <f>IFERROR(__xludf.DUMMYFUNCTION("""COMPUTED_VALUE"""),-0.0015)</f>
        <v>-0.0015</v>
      </c>
      <c r="K5" s="59">
        <f>IFERROR(__xludf.DUMMYFUNCTION("""COMPUTED_VALUE"""),10.09)</f>
        <v>10.09</v>
      </c>
      <c r="L5" s="63">
        <f>IFERROR(__xludf.DUMMYFUNCTION("""COMPUTED_VALUE"""),1.07)</f>
        <v>1.07</v>
      </c>
      <c r="M5" s="64" t="str">
        <f>IFERROR(__xludf.DUMMYFUNCTION("""COMPUTED_VALUE"""),"U: [1/5 W]; W: [1:1, $11.5]")</f>
        <v>U: [1/5 W]; W: [1:1, $11.5]</v>
      </c>
      <c r="N5" s="65" t="str">
        <f>IFERROR(__xludf.DUMMYFUNCTION("""COMPUTED_VALUE"""),"")</f>
        <v/>
      </c>
      <c r="O5" s="66">
        <f>IFERROR(__xludf.DUMMYFUNCTION("""COMPUTED_VALUE"""),0.0)</f>
        <v>0</v>
      </c>
      <c r="P5" s="67">
        <f>IFERROR(__xludf.DUMMYFUNCTION("""COMPUTED_VALUE"""),44228.0)</f>
        <v>44228</v>
      </c>
      <c r="Q5" s="68">
        <f>IFERROR(__xludf.DUMMYFUNCTION("""COMPUTED_VALUE"""),1000.0)</f>
        <v>1000</v>
      </c>
      <c r="R5" s="69" t="str">
        <f>IFERROR(__xludf.DUMMYFUNCTION("""COMPUTED_VALUE"""),"UBS, Citigroup, Morgan Stanley, Barclays")</f>
        <v>UBS, Citigroup, Morgan Stanley, Barclays</v>
      </c>
      <c r="S5" s="64">
        <f>IFERROR(__xludf.DUMMYFUNCTION("""COMPUTED_VALUE"""),44958.0)</f>
        <v>44958</v>
      </c>
      <c r="T5" s="70">
        <f>IFERROR(__xludf.DUMMYFUNCTION("""COMPUTED_VALUE"""),0.09315068493150686)</f>
        <v>0.09315068493</v>
      </c>
      <c r="U5" s="71" t="str">
        <f>IFERROR(__xludf.DUMMYFUNCTION("""COMPUTED_VALUE"""),"https://www.sec.gov/cgi-bin/browse-edgar?CIK=1829432")</f>
        <v>https://www.sec.gov/cgi-bin/browse-edgar?CIK=1829432</v>
      </c>
      <c r="V5" s="72" t="str">
        <f>IFERROR(__xludf.DUMMYFUNCTION("""COMPUTED_VALUE""")," Trading Below $10 (Common)  $500M+ Trust     Well-known Sponsor  Top Tier UW ")</f>
        <v> Trading Below $10 (Common)  $500M+ Trust     Well-known Sponsor  Top Tier UW </v>
      </c>
      <c r="W5" s="73"/>
      <c r="X5" s="74"/>
      <c r="Y5" s="75"/>
      <c r="Z5" s="60"/>
      <c r="AA5" s="60"/>
      <c r="AB5" s="60"/>
      <c r="AC5" s="60"/>
      <c r="AD5" s="73"/>
      <c r="AE5" s="73"/>
      <c r="AF5" s="76"/>
      <c r="AG5" s="60" t="str">
        <f>IFERROR(__xludf.DUMMYFUNCTION("""COMPUTED_VALUE"""),"")</f>
        <v/>
      </c>
    </row>
    <row r="6">
      <c r="A6" s="54" t="str">
        <f>IFERROR(__xludf.DUMMYFUNCTION("""COMPUTED_VALUE"""),"AACE")</f>
        <v>AACE</v>
      </c>
      <c r="B6" s="55" t="str">
        <f>IFERROR(__xludf.DUMMYFUNCTION("""COMPUTED_VALUE"""),"Alexandria Agtech/Climate Innovation Acquisition Corp.")</f>
        <v>Alexandria Agtech/Climate Innovation Acquisition Corp.</v>
      </c>
      <c r="C6" s="56" t="str">
        <f>IFERROR(__xludf.DUMMYFUNCTION("""COMPUTED_VALUE"""),"Pre IPO")</f>
        <v>Pre IPO</v>
      </c>
      <c r="D6" s="77" t="str">
        <f>IFERROR(__xludf.DUMMYFUNCTION("""COMPUTED_VALUE"""),"Agtech and Climate Tech")</f>
        <v>Agtech and Climate Tech</v>
      </c>
      <c r="E6" s="58"/>
      <c r="F6" s="59"/>
      <c r="G6" s="60">
        <f>IFERROR(__xludf.DUMMYFUNCTION("""COMPUTED_VALUE"""),2.5E8)</f>
        <v>250000000</v>
      </c>
      <c r="H6" s="60" t="str">
        <f>IFERROR(__xludf.DUMMYFUNCTION("""COMPUTED_VALUE""")," ")</f>
        <v> </v>
      </c>
      <c r="I6" s="61" t="str">
        <f>IFERROR(__xludf.DUMMYFUNCTION("""COMPUTED_VALUE""")," ")</f>
        <v> </v>
      </c>
      <c r="J6" s="62" t="str">
        <f>IFERROR(__xludf.DUMMYFUNCTION("""COMPUTED_VALUE""")," ")</f>
        <v> </v>
      </c>
      <c r="K6" s="59" t="str">
        <f>IFERROR(__xludf.DUMMYFUNCTION("""COMPUTED_VALUE""")," ")</f>
        <v> </v>
      </c>
      <c r="L6" s="63" t="str">
        <f>IFERROR(__xludf.DUMMYFUNCTION("""COMPUTED_VALUE""")," ")</f>
        <v> </v>
      </c>
      <c r="M6" s="64" t="str">
        <f>IFERROR(__xludf.DUMMYFUNCTION("""COMPUTED_VALUE"""),"U: [1/4 W]; W: [1:1, $11.5]")</f>
        <v>U: [1/4 W]; W: [1:1, $11.5]</v>
      </c>
      <c r="N6" s="65" t="str">
        <f>IFERROR(__xludf.DUMMYFUNCTION("""COMPUTED_VALUE"""),"")</f>
        <v/>
      </c>
      <c r="O6" s="66">
        <f>IFERROR(__xludf.DUMMYFUNCTION("""COMPUTED_VALUE"""),0.0)</f>
        <v>0</v>
      </c>
      <c r="P6" s="67"/>
      <c r="Q6" s="68">
        <f>IFERROR(__xludf.DUMMYFUNCTION("""COMPUTED_VALUE"""),250.0)</f>
        <v>250</v>
      </c>
      <c r="R6" s="69" t="str">
        <f>IFERROR(__xludf.DUMMYFUNCTION("""COMPUTED_VALUE"""),"Goldman Sachs &amp; Co. LLC")</f>
        <v>Goldman Sachs &amp; Co. LLC</v>
      </c>
      <c r="S6" s="64">
        <f>IFERROR(__xludf.DUMMYFUNCTION("""COMPUTED_VALUE"""),45086.0)</f>
        <v>45086</v>
      </c>
      <c r="T6" s="70" t="str">
        <f>IFERROR(__xludf.DUMMYFUNCTION("""COMPUTED_VALUE"""),"")</f>
        <v/>
      </c>
      <c r="U6" s="71" t="str">
        <f>IFERROR(__xludf.DUMMYFUNCTION("""COMPUTED_VALUE"""),"https://www.sec.gov/cgi-bin/browse-edgar?CIK=1848084")</f>
        <v>https://www.sec.gov/cgi-bin/browse-edgar?CIK=1848084</v>
      </c>
      <c r="V6" s="72" t="str">
        <f>IFERROR(__xludf.DUMMYFUNCTION("""COMPUTED_VALUE"""),"           Top Tier UW ")</f>
        <v>           Top Tier UW </v>
      </c>
      <c r="W6" s="73"/>
      <c r="X6" s="74"/>
      <c r="Y6" s="75"/>
      <c r="Z6" s="60"/>
      <c r="AA6" s="60"/>
      <c r="AB6" s="60"/>
      <c r="AC6" s="60"/>
      <c r="AD6" s="73"/>
      <c r="AE6" s="73"/>
      <c r="AF6" s="76"/>
      <c r="AG6" s="60"/>
    </row>
    <row r="7">
      <c r="A7" s="78" t="str">
        <f>IFERROR(__xludf.DUMMYFUNCTION("""COMPUTED_VALUE"""),"AACO")</f>
        <v>AACO</v>
      </c>
      <c r="B7" s="55" t="str">
        <f>IFERROR(__xludf.DUMMYFUNCTION("""COMPUTED_VALUE"""),"Advancit Acquisition Corp. I")</f>
        <v>Advancit Acquisition Corp. I</v>
      </c>
      <c r="C7" s="56" t="str">
        <f>IFERROR(__xludf.DUMMYFUNCTION("""COMPUTED_VALUE"""),"Pre IPO")</f>
        <v>Pre IPO</v>
      </c>
      <c r="D7" s="77" t="str">
        <f>IFERROR(__xludf.DUMMYFUNCTION("""COMPUTED_VALUE"""),"Media, Consumer Tech")</f>
        <v>Media, Consumer Tech</v>
      </c>
      <c r="E7" s="58"/>
      <c r="F7" s="59" t="str">
        <f>IFERROR(__xludf.DUMMYFUNCTION("""COMPUTED_VALUE"""),"Jonathan Miller (Fmr CEO, AOL; Fmr Chairman/CEO, News Corp’s Digital Media Group; Fmr Director, Hulu; Director, The Nielsen Company), Randy Freer (Fmr CEO, Hulu; Fmr COO; Fox Networks Group; Fmr COO, Fox Sports Media Group), Troy Carter (Founder, Atom Fac"&amp;"tory)")</f>
        <v>Jonathan Miller (Fmr CEO, AOL; Fmr Chairman/CEO, News Corp’s Digital Media Group; Fmr Director, Hulu; Director, The Nielsen Company), Randy Freer (Fmr CEO, Hulu; Fmr COO; Fox Networks Group; Fmr COO, Fox Sports Media Group), Troy Carter (Founder, Atom Factory)</v>
      </c>
      <c r="G7" s="60">
        <f>IFERROR(__xludf.DUMMYFUNCTION("""COMPUTED_VALUE"""),3.5E8)</f>
        <v>350000000</v>
      </c>
      <c r="H7" s="60" t="str">
        <f>IFERROR(__xludf.DUMMYFUNCTION("""COMPUTED_VALUE""")," ")</f>
        <v> </v>
      </c>
      <c r="I7" s="61" t="str">
        <f>IFERROR(__xludf.DUMMYFUNCTION("""COMPUTED_VALUE""")," ")</f>
        <v> </v>
      </c>
      <c r="J7" s="62" t="str">
        <f>IFERROR(__xludf.DUMMYFUNCTION("""COMPUTED_VALUE""")," ")</f>
        <v> </v>
      </c>
      <c r="K7" s="59" t="str">
        <f>IFERROR(__xludf.DUMMYFUNCTION("""COMPUTED_VALUE""")," ")</f>
        <v> </v>
      </c>
      <c r="L7" s="63" t="str">
        <f>IFERROR(__xludf.DUMMYFUNCTION("""COMPUTED_VALUE""")," ")</f>
        <v> </v>
      </c>
      <c r="M7" s="64" t="str">
        <f>IFERROR(__xludf.DUMMYFUNCTION("""COMPUTED_VALUE"""),"U: [1/3 W]; W: [1:1, $11.5]")</f>
        <v>U: [1/3 W]; W: [1:1, $11.5]</v>
      </c>
      <c r="N7" s="65" t="str">
        <f>IFERROR(__xludf.DUMMYFUNCTION("""COMPUTED_VALUE"""),"")</f>
        <v/>
      </c>
      <c r="O7" s="66" t="str">
        <f>IFERROR(__xludf.DUMMYFUNCTION("""COMPUTED_VALUE"""),"")</f>
        <v/>
      </c>
      <c r="P7" s="67"/>
      <c r="Q7" s="68">
        <f>IFERROR(__xludf.DUMMYFUNCTION("""COMPUTED_VALUE"""),350.0)</f>
        <v>350</v>
      </c>
      <c r="R7" s="69" t="str">
        <f>IFERROR(__xludf.DUMMYFUNCTION("""COMPUTED_VALUE"""),"Citigroup")</f>
        <v>Citigroup</v>
      </c>
      <c r="S7" s="64">
        <f>IFERROR(__xludf.DUMMYFUNCTION("""COMPUTED_VALUE"""),45086.0)</f>
        <v>45086</v>
      </c>
      <c r="T7" s="70" t="str">
        <f>IFERROR(__xludf.DUMMYFUNCTION("""COMPUTED_VALUE"""),"")</f>
        <v/>
      </c>
      <c r="U7" s="71" t="str">
        <f>IFERROR(__xludf.DUMMYFUNCTION("""COMPUTED_VALUE"""),"https://www.sec.gov/cgi-bin/browse-edgar?CIK=1843825")</f>
        <v>https://www.sec.gov/cgi-bin/browse-edgar?CIK=1843825</v>
      </c>
      <c r="V7" s="72" t="str">
        <f>IFERROR(__xludf.DUMMYFUNCTION("""COMPUTED_VALUE"""),"Venture Capital         Well-known Sponsor  Top Tier UW ")</f>
        <v>Venture Capital         Well-known Sponsor  Top Tier UW </v>
      </c>
      <c r="W7" s="73"/>
      <c r="X7" s="74"/>
      <c r="Y7" s="75"/>
      <c r="Z7" s="60"/>
      <c r="AA7" s="60"/>
      <c r="AB7" s="60"/>
      <c r="AC7" s="60"/>
      <c r="AD7" s="73"/>
      <c r="AE7" s="73"/>
      <c r="AF7" s="76"/>
      <c r="AG7" s="60"/>
    </row>
    <row r="8">
      <c r="A8" s="54" t="str">
        <f>IFERROR(__xludf.DUMMYFUNCTION("""COMPUTED_VALUE"""),"AACP")</f>
        <v>AACP</v>
      </c>
      <c r="B8" s="55" t="str">
        <f>IFERROR(__xludf.DUMMYFUNCTION("""COMPUTED_VALUE"""),"Aeon Acquisition Corp.")</f>
        <v>Aeon Acquisition Corp.</v>
      </c>
      <c r="C8" s="56" t="str">
        <f>IFERROR(__xludf.DUMMYFUNCTION("""COMPUTED_VALUE"""),"Pre IPO")</f>
        <v>Pre IPO</v>
      </c>
      <c r="D8" s="77" t="str">
        <f>IFERROR(__xludf.DUMMYFUNCTION("""COMPUTED_VALUE"""),"Tech")</f>
        <v>Tech</v>
      </c>
      <c r="E8" s="58"/>
      <c r="F8" s="59" t="str">
        <f>IFERROR(__xludf.DUMMYFUNCTION("""COMPUTED_VALUE"""),"David Edmondson (Fmr CEO, RadioShack)
")</f>
        <v>David Edmondson (Fmr CEO, RadioShack)
</v>
      </c>
      <c r="G8" s="60">
        <f>IFERROR(__xludf.DUMMYFUNCTION("""COMPUTED_VALUE"""),1.25E8)</f>
        <v>125000000</v>
      </c>
      <c r="H8" s="60" t="str">
        <f>IFERROR(__xludf.DUMMYFUNCTION("""COMPUTED_VALUE""")," ")</f>
        <v> </v>
      </c>
      <c r="I8" s="61" t="str">
        <f>IFERROR(__xludf.DUMMYFUNCTION("""COMPUTED_VALUE""")," ")</f>
        <v> </v>
      </c>
      <c r="J8" s="62" t="str">
        <f>IFERROR(__xludf.DUMMYFUNCTION("""COMPUTED_VALUE""")," ")</f>
        <v> </v>
      </c>
      <c r="K8" s="59" t="str">
        <f>IFERROR(__xludf.DUMMYFUNCTION("""COMPUTED_VALUE""")," ")</f>
        <v> </v>
      </c>
      <c r="L8" s="63" t="str">
        <f>IFERROR(__xludf.DUMMYFUNCTION("""COMPUTED_VALUE""")," ")</f>
        <v> </v>
      </c>
      <c r="M8" s="64" t="str">
        <f>IFERROR(__xludf.DUMMYFUNCTION("""COMPUTED_VALUE"""),"U: [1/2 W]; W: [1:1, $11.5]")</f>
        <v>U: [1/2 W]; W: [1:1, $11.5]</v>
      </c>
      <c r="N8" s="65" t="str">
        <f>IFERROR(__xludf.DUMMYFUNCTION("""COMPUTED_VALUE"""),"")</f>
        <v/>
      </c>
      <c r="O8" s="66" t="str">
        <f>IFERROR(__xludf.DUMMYFUNCTION("""COMPUTED_VALUE"""),"")</f>
        <v/>
      </c>
      <c r="P8" s="67"/>
      <c r="Q8" s="68">
        <f>IFERROR(__xludf.DUMMYFUNCTION("""COMPUTED_VALUE"""),125.0)</f>
        <v>125</v>
      </c>
      <c r="R8" s="69" t="str">
        <f>IFERROR(__xludf.DUMMYFUNCTION("""COMPUTED_VALUE"""),"Maxim Group")</f>
        <v>Maxim Group</v>
      </c>
      <c r="S8" s="64">
        <f>IFERROR(__xludf.DUMMYFUNCTION("""COMPUTED_VALUE"""),45086.0)</f>
        <v>45086</v>
      </c>
      <c r="T8" s="70" t="str">
        <f>IFERROR(__xludf.DUMMYFUNCTION("""COMPUTED_VALUE"""),"")</f>
        <v/>
      </c>
      <c r="U8" s="71" t="str">
        <f>IFERROR(__xludf.DUMMYFUNCTION("""COMPUTED_VALUE"""),"https://www.sec.gov/cgi-bin/browse-edgar?CIK=1822365")</f>
        <v>https://www.sec.gov/cgi-bin/browse-edgar?CIK=1822365</v>
      </c>
      <c r="V8" s="72" t="str">
        <f>IFERROR(__xludf.DUMMYFUNCTION("""COMPUTED_VALUE"""),"         Well-known Sponsor   ")</f>
        <v>         Well-known Sponsor   </v>
      </c>
      <c r="W8" s="73"/>
      <c r="X8" s="74"/>
      <c r="Y8" s="75"/>
      <c r="Z8" s="60"/>
      <c r="AA8" s="60"/>
      <c r="AB8" s="60"/>
      <c r="AC8" s="60"/>
      <c r="AD8" s="73"/>
      <c r="AE8" s="73"/>
      <c r="AF8" s="76"/>
      <c r="AG8" s="60" t="str">
        <f>IFERROR(__xludf.DUMMYFUNCTION("""COMPUTED_VALUE"""),"")</f>
        <v/>
      </c>
    </row>
    <row r="9">
      <c r="A9" s="54" t="str">
        <f>IFERROR(__xludf.DUMMYFUNCTION("""COMPUTED_VALUE"""),"AACQ")</f>
        <v>AACQ</v>
      </c>
      <c r="B9" s="55" t="str">
        <f>IFERROR(__xludf.DUMMYFUNCTION("""COMPUTED_VALUE"""),"Artius Acquisition")</f>
        <v>Artius Acquisition</v>
      </c>
      <c r="C9" s="56" t="str">
        <f>IFERROR(__xludf.DUMMYFUNCTION("""COMPUTED_VALUE"""),"Definitive Agreement")</f>
        <v>Definitive Agreement</v>
      </c>
      <c r="D9" s="77" t="str">
        <f>IFERROR(__xludf.DUMMYFUNCTION("""COMPUTED_VALUE"""),"Tech")</f>
        <v>Tech</v>
      </c>
      <c r="E9" s="58" t="str">
        <f>IFERROR(__xludf.DUMMYFUNCTION("""COMPUTED_VALUE"""),"Origin Materials [DA: 02/17/21]")</f>
        <v>Origin Materials [DA: 02/17/21]</v>
      </c>
      <c r="F9" s="59" t="str">
        <f>IFERROR(__xludf.DUMMYFUNCTION("""COMPUTED_VALUE"""),"Charles Drucker (Former CEO, WorldPay)")</f>
        <v>Charles Drucker (Former CEO, WorldPay)</v>
      </c>
      <c r="G9" s="60">
        <f>IFERROR(__xludf.DUMMYFUNCTION("""COMPUTED_VALUE"""),7.24578087E8)</f>
        <v>724578087</v>
      </c>
      <c r="H9" s="60">
        <f>IFERROR(__xludf.DUMMYFUNCTION("""COMPUTED_VALUE"""),7.46235E8)</f>
        <v>746235000</v>
      </c>
      <c r="I9" s="61">
        <f>IFERROR(__xludf.DUMMYFUNCTION("""COMPUTED_VALUE"""),10.3)</f>
        <v>10.3</v>
      </c>
      <c r="J9" s="62">
        <f>IFERROR(__xludf.DUMMYFUNCTION("""COMPUTED_VALUE"""),-0.00866)</f>
        <v>-0.00866</v>
      </c>
      <c r="K9" s="59">
        <f>IFERROR(__xludf.DUMMYFUNCTION("""COMPUTED_VALUE"""),10.9)</f>
        <v>10.9</v>
      </c>
      <c r="L9" s="63">
        <f>IFERROR(__xludf.DUMMYFUNCTION("""COMPUTED_VALUE"""),1.9)</f>
        <v>1.9</v>
      </c>
      <c r="M9" s="64" t="str">
        <f>IFERROR(__xludf.DUMMYFUNCTION("""COMPUTED_VALUE"""),"U: [1/3 W]; W: [1:1, $11.5]")</f>
        <v>U: [1/3 W]; W: [1:1, $11.5]</v>
      </c>
      <c r="N9" s="65" t="str">
        <f>IFERROR(__xludf.DUMMYFUNCTION("""COMPUTED_VALUE"""),"")</f>
        <v/>
      </c>
      <c r="O9" s="66">
        <f>IFERROR(__xludf.DUMMYFUNCTION("""COMPUTED_VALUE"""),0.0)</f>
        <v>0</v>
      </c>
      <c r="P9" s="67">
        <f>IFERROR(__xludf.DUMMYFUNCTION("""COMPUTED_VALUE"""),44026.0)</f>
        <v>44026</v>
      </c>
      <c r="Q9" s="68">
        <f>IFERROR(__xludf.DUMMYFUNCTION("""COMPUTED_VALUE"""),724.5)</f>
        <v>724.5</v>
      </c>
      <c r="R9" s="69" t="str">
        <f>IFERROR(__xludf.DUMMYFUNCTION("""COMPUTED_VALUE"""),"Credit Suisse, Goldman Sachs")</f>
        <v>Credit Suisse, Goldman Sachs</v>
      </c>
      <c r="S9" s="64">
        <f>IFERROR(__xludf.DUMMYFUNCTION("""COMPUTED_VALUE"""),44756.0)</f>
        <v>44756</v>
      </c>
      <c r="T9" s="70">
        <f>IFERROR(__xludf.DUMMYFUNCTION("""COMPUTED_VALUE"""),0.3698630136986301)</f>
        <v>0.3698630137</v>
      </c>
      <c r="U9" s="71" t="str">
        <f>IFERROR(__xludf.DUMMYFUNCTION("""COMPUTED_VALUE"""),"https://www.sec.gov/cgi-bin/browse-edgar?CIK=1802457")</f>
        <v>https://www.sec.gov/cgi-bin/browse-edgar?CIK=1802457</v>
      </c>
      <c r="V9" s="72" t="str">
        <f>IFERROR(__xludf.DUMMYFUNCTION("""COMPUTED_VALUE"""),"   $500M+ Trust Optionable    Well-known Sponsor  Top Tier UW ")</f>
        <v>   $500M+ Trust Optionable    Well-known Sponsor  Top Tier UW </v>
      </c>
      <c r="W9" s="73">
        <f>IFERROR(__xludf.DUMMYFUNCTION("""COMPUTED_VALUE"""),44244.0)</f>
        <v>44244</v>
      </c>
      <c r="X9" s="79">
        <f>IFERROR(__xludf.DUMMYFUNCTION("""COMPUTED_VALUE"""),7.266666666666667)</f>
        <v>7.266666667</v>
      </c>
      <c r="Y9" s="80" t="str">
        <f>IFERROR(__xludf.DUMMYFUNCTION("""COMPUTED_VALUE"""),"https://www.businesswire.com/news/home/20210217005434/en/Origin-Materials-Market-Leader-in-Disruptive-Materials-Technology-to-Combine-with-Artius-Creating-First-Publicly-Traded-Pure-Play-Carbon-Negative-Materials-Companyy")</f>
        <v>https://www.businesswire.com/news/home/20210217005434/en/Origin-Materials-Market-Leader-in-Disruptive-Materials-Technology-to-Combine-with-Artius-Creating-First-Publicly-Traded-Pure-Play-Carbon-Negative-Materials-Companyy</v>
      </c>
      <c r="Z9" s="81" t="str">
        <f>IFERROR(__xludf.DUMMYFUNCTION("""COMPUTED_VALUE"""),"https://www.sec.gov/Archives/edgar/data/1802457/000119312521045759/d137043dex992.htm")</f>
        <v>https://www.sec.gov/Archives/edgar/data/1802457/000119312521045759/d137043dex992.htm</v>
      </c>
      <c r="AA9" s="60">
        <f>IFERROR(__xludf.DUMMYFUNCTION("""COMPUTED_VALUE"""),2.0E8)</f>
        <v>200000000</v>
      </c>
      <c r="AB9" s="60">
        <f>IFERROR(__xludf.DUMMYFUNCTION("""COMPUTED_VALUE"""),1.843E9)</f>
        <v>1843000000</v>
      </c>
      <c r="AC9" s="60">
        <f>IFERROR(__xludf.DUMMYFUNCTION("""COMPUTED_VALUE"""),9.99E8)</f>
        <v>999000000</v>
      </c>
      <c r="AD9" s="73"/>
      <c r="AE9" s="73"/>
      <c r="AF9" s="76">
        <f>IFERROR(__xludf.DUMMYFUNCTION("""COMPUTED_VALUE"""),1.843E8)</f>
        <v>184300000</v>
      </c>
      <c r="AG9" s="60">
        <f>IFERROR(__xludf.DUMMYFUNCTION("""COMPUTED_VALUE"""),1.8982900000000002E9)</f>
        <v>1898290000</v>
      </c>
    </row>
    <row r="10">
      <c r="A10" s="54" t="str">
        <f>IFERROR(__xludf.DUMMYFUNCTION("""COMPUTED_VALUE"""),"AAQC")</f>
        <v>AAQC</v>
      </c>
      <c r="B10" s="55" t="str">
        <f>IFERROR(__xludf.DUMMYFUNCTION("""COMPUTED_VALUE"""),"Accelerate Acquisition Corp.")</f>
        <v>Accelerate Acquisition Corp.</v>
      </c>
      <c r="C10" s="56" t="str">
        <f>IFERROR(__xludf.DUMMYFUNCTION("""COMPUTED_VALUE"""),"Searching (Pre Unit Split)")</f>
        <v>Searching (Pre Unit Split)</v>
      </c>
      <c r="D10" s="57" t="str">
        <f>IFERROR(__xludf.DUMMYFUNCTION("""COMPUTED_VALUE"""),"Industrial, Transportation, Consumer, Retail")</f>
        <v>Industrial, Transportation, Consumer, Retail</v>
      </c>
      <c r="E10" s="58"/>
      <c r="F10" s="59" t="str">
        <f>IFERROR(__xludf.DUMMYFUNCTION("""COMPUTED_VALUE"""),"Bob Nardelli (Fmr Chairman/CEO, The Home Depot; Fmr Chairman/CEO, Chrysler), Mark Little (Fmr CTO, GE), Mark Weinberger (Fmr Global Chairman/CEO, Ernst &amp; Young; Director, Metlife, Johnson &amp; Johnson, &amp; Saudi Aramco), Dr. John Kelly III (Fmr SVP, Cognitive "&amp;"Solutions at IBM: oversaw IBM’s software business &amp; Watson), Lloyd Trotter (Fmr Vice Chairman, GE; Fmr CEO, GE Industrial; Fmr Director, PepsiCo &amp; Daimler)")</f>
        <v>Bob Nardelli (Fmr Chairman/CEO, The Home Depot; Fmr Chairman/CEO, Chrysler), Mark Little (Fmr CTO, GE), Mark Weinberger (Fmr Global Chairman/CEO, Ernst &amp; Young; Director, Metlife, Johnson &amp; Johnson, &amp; Saudi Aramco), Dr. John Kelly III (Fmr SVP, Cognitive Solutions at IBM: oversaw IBM’s software business &amp; Watson), Lloyd Trotter (Fmr Vice Chairman, GE; Fmr CEO, GE Industrial; Fmr Director, PepsiCo &amp; Daimler)</v>
      </c>
      <c r="G10" s="60">
        <f>IFERROR(__xludf.DUMMYFUNCTION("""COMPUTED_VALUE"""),4.0E8)</f>
        <v>400000000</v>
      </c>
      <c r="H10" s="60" t="str">
        <f>IFERROR(__xludf.DUMMYFUNCTION("""COMPUTED_VALUE""")," ")</f>
        <v> </v>
      </c>
      <c r="I10" s="61" t="str">
        <f>IFERROR(__xludf.DUMMYFUNCTION("""COMPUTED_VALUE""")," ")</f>
        <v> </v>
      </c>
      <c r="J10" s="62" t="str">
        <f>IFERROR(__xludf.DUMMYFUNCTION("""COMPUTED_VALUE""")," ")</f>
        <v> </v>
      </c>
      <c r="K10" s="59">
        <f>IFERROR(__xludf.DUMMYFUNCTION("""COMPUTED_VALUE"""),9.98)</f>
        <v>9.98</v>
      </c>
      <c r="L10" s="63" t="str">
        <f>IFERROR(__xludf.DUMMYFUNCTION("""COMPUTED_VALUE""")," ")</f>
        <v> </v>
      </c>
      <c r="M10" s="64" t="str">
        <f>IFERROR(__xludf.DUMMYFUNCTION("""COMPUTED_VALUE"""),"U: [1/3 W]; W: [1:1, $11.5]")</f>
        <v>U: [1/3 W]; W: [1:1, $11.5]</v>
      </c>
      <c r="N10" s="65">
        <f>IFERROR(__xludf.DUMMYFUNCTION("""COMPUTED_VALUE"""),44324.0)</f>
        <v>44324</v>
      </c>
      <c r="O10" s="66">
        <f>IFERROR(__xludf.DUMMYFUNCTION("""COMPUTED_VALUE"""),0.0)</f>
        <v>0</v>
      </c>
      <c r="P10" s="67">
        <f>IFERROR(__xludf.DUMMYFUNCTION("""COMPUTED_VALUE"""),44272.0)</f>
        <v>44272</v>
      </c>
      <c r="Q10" s="68">
        <f>IFERROR(__xludf.DUMMYFUNCTION("""COMPUTED_VALUE"""),400.0)</f>
        <v>400</v>
      </c>
      <c r="R10" s="69" t="str">
        <f>IFERROR(__xludf.DUMMYFUNCTION("""COMPUTED_VALUE"""),"UBS Investment Bank")</f>
        <v>UBS Investment Bank</v>
      </c>
      <c r="S10" s="64">
        <f>IFERROR(__xludf.DUMMYFUNCTION("""COMPUTED_VALUE"""),45002.0)</f>
        <v>45002</v>
      </c>
      <c r="T10" s="70">
        <f>IFERROR(__xludf.DUMMYFUNCTION("""COMPUTED_VALUE"""),0.03287671232876712)</f>
        <v>0.03287671233</v>
      </c>
      <c r="U10" s="71" t="str">
        <f>IFERROR(__xludf.DUMMYFUNCTION("""COMPUTED_VALUE"""),"https://www.sec.gov/cgi-bin/browse-edgar?CIK=1838883")</f>
        <v>https://www.sec.gov/cgi-bin/browse-edgar?CIK=1838883</v>
      </c>
      <c r="V10" s="72" t="str">
        <f>IFERROR(__xludf.DUMMYFUNCTION("""COMPUTED_VALUE"""),"         Well-known Sponsor   ")</f>
        <v>         Well-known Sponsor   </v>
      </c>
      <c r="W10" s="73"/>
      <c r="X10" s="74"/>
      <c r="Y10" s="75"/>
      <c r="Z10" s="60"/>
      <c r="AA10" s="60"/>
      <c r="AB10" s="60"/>
      <c r="AC10" s="60"/>
      <c r="AD10" s="73"/>
      <c r="AE10" s="73"/>
      <c r="AF10" s="76"/>
      <c r="AG10" s="60"/>
    </row>
    <row r="11">
      <c r="A11" s="54" t="str">
        <f>IFERROR(__xludf.DUMMYFUNCTION("""COMPUTED_VALUE"""),"ABCO")</f>
        <v>ABCO</v>
      </c>
      <c r="B11" s="55" t="str">
        <f>IFERROR(__xludf.DUMMYFUNCTION("""COMPUTED_VALUE"""),"Able Brands Co.")</f>
        <v>Able Brands Co.</v>
      </c>
      <c r="C11" s="56" t="str">
        <f>IFERROR(__xludf.DUMMYFUNCTION("""COMPUTED_VALUE"""),"Pre IPO")</f>
        <v>Pre IPO</v>
      </c>
      <c r="D11" s="77" t="str">
        <f>IFERROR(__xludf.DUMMYFUNCTION("""COMPUTED_VALUE"""),"Consumer Health and Wellness (Better-for-you products and services)")</f>
        <v>Consumer Health and Wellness (Better-for-you products and services)</v>
      </c>
      <c r="E11" s="58"/>
      <c r="F11" s="59" t="str">
        <f>IFERROR(__xludf.DUMMYFUNCTION("""COMPUTED_VALUE"""),"Amanda Eilian (Founding Partner of Able Partners and Co-founder of Videolicious), Anuradha Subramanian (CFO of Bumble Inc.)")</f>
        <v>Amanda Eilian (Founding Partner of Able Partners and Co-founder of Videolicious), Anuradha Subramanian (CFO of Bumble Inc.)</v>
      </c>
      <c r="G11" s="60">
        <f>IFERROR(__xludf.DUMMYFUNCTION("""COMPUTED_VALUE"""),2.25E8)</f>
        <v>225000000</v>
      </c>
      <c r="H11" s="60" t="str">
        <f>IFERROR(__xludf.DUMMYFUNCTION("""COMPUTED_VALUE""")," ")</f>
        <v> </v>
      </c>
      <c r="I11" s="61" t="str">
        <f>IFERROR(__xludf.DUMMYFUNCTION("""COMPUTED_VALUE""")," ")</f>
        <v> </v>
      </c>
      <c r="J11" s="62" t="str">
        <f>IFERROR(__xludf.DUMMYFUNCTION("""COMPUTED_VALUE""")," ")</f>
        <v> </v>
      </c>
      <c r="K11" s="59" t="str">
        <f>IFERROR(__xludf.DUMMYFUNCTION("""COMPUTED_VALUE""")," ")</f>
        <v> </v>
      </c>
      <c r="L11" s="63" t="str">
        <f>IFERROR(__xludf.DUMMYFUNCTION("""COMPUTED_VALUE""")," ")</f>
        <v> </v>
      </c>
      <c r="M11" s="64" t="str">
        <f>IFERROR(__xludf.DUMMYFUNCTION("""COMPUTED_VALUE"""),"U: [1/3 W]; W: [1:1, $11.5]")</f>
        <v>U: [1/3 W]; W: [1:1, $11.5]</v>
      </c>
      <c r="N11" s="65" t="str">
        <f>IFERROR(__xludf.DUMMYFUNCTION("""COMPUTED_VALUE"""),"")</f>
        <v/>
      </c>
      <c r="O11" s="66">
        <f>IFERROR(__xludf.DUMMYFUNCTION("""COMPUTED_VALUE"""),0.0)</f>
        <v>0</v>
      </c>
      <c r="P11" s="67"/>
      <c r="Q11" s="68">
        <f>IFERROR(__xludf.DUMMYFUNCTION("""COMPUTED_VALUE"""),225.0)</f>
        <v>225</v>
      </c>
      <c r="R11" s="69" t="str">
        <f>IFERROR(__xludf.DUMMYFUNCTION("""COMPUTED_VALUE"""),"Goldman Sachs &amp; Co. LLC")</f>
        <v>Goldman Sachs &amp; Co. LLC</v>
      </c>
      <c r="S11" s="64">
        <f>IFERROR(__xludf.DUMMYFUNCTION("""COMPUTED_VALUE"""),45086.0)</f>
        <v>45086</v>
      </c>
      <c r="T11" s="70" t="str">
        <f>IFERROR(__xludf.DUMMYFUNCTION("""COMPUTED_VALUE"""),"")</f>
        <v/>
      </c>
      <c r="U11" s="71" t="str">
        <f>IFERROR(__xludf.DUMMYFUNCTION("""COMPUTED_VALUE"""),"https://www.sec.gov/cgi-bin/browse-edgar?CIK=1849574")</f>
        <v>https://www.sec.gov/cgi-bin/browse-edgar?CIK=1849574</v>
      </c>
      <c r="V11" s="72" t="str">
        <f>IFERROR(__xludf.DUMMYFUNCTION("""COMPUTED_VALUE"""),"           Top Tier UW ")</f>
        <v>           Top Tier UW </v>
      </c>
      <c r="W11" s="73"/>
      <c r="X11" s="74"/>
      <c r="Y11" s="75"/>
      <c r="Z11" s="60"/>
      <c r="AA11" s="60"/>
      <c r="AB11" s="60"/>
      <c r="AC11" s="60"/>
      <c r="AD11" s="73"/>
      <c r="AE11" s="73"/>
      <c r="AF11" s="76"/>
      <c r="AG11" s="60"/>
    </row>
    <row r="12">
      <c r="A12" s="54" t="str">
        <f>IFERROR(__xludf.DUMMYFUNCTION("""COMPUTED_VALUE"""),"ABGI")</f>
        <v>ABGI</v>
      </c>
      <c r="B12" s="55" t="str">
        <f>IFERROR(__xludf.DUMMYFUNCTION("""COMPUTED_VALUE"""),"ABG Acquisition Corp. I")</f>
        <v>ABG Acquisition Corp. I</v>
      </c>
      <c r="C12" s="56" t="str">
        <f>IFERROR(__xludf.DUMMYFUNCTION("""COMPUTED_VALUE"""),"Searching")</f>
        <v>Searching</v>
      </c>
      <c r="D12" s="77" t="str">
        <f>IFERROR(__xludf.DUMMYFUNCTION("""COMPUTED_VALUE"""),"Healthcare")</f>
        <v>Healthcare</v>
      </c>
      <c r="E12" s="58"/>
      <c r="F12" s="59" t="str">
        <f>IFERROR(__xludf.DUMMYFUNCTION("""COMPUTED_VALUE"""),"Frank Yu (Founder/CEO, Ally Bridge Group)")</f>
        <v>Frank Yu (Founder/CEO, Ally Bridge Group)</v>
      </c>
      <c r="G12" s="60">
        <f>IFERROR(__xludf.DUMMYFUNCTION("""COMPUTED_VALUE"""),1.31E8)</f>
        <v>131000000</v>
      </c>
      <c r="H12" s="60">
        <f>IFERROR(__xludf.DUMMYFUNCTION("""COMPUTED_VALUE"""),1.1964E8)</f>
        <v>119640000</v>
      </c>
      <c r="I12" s="61">
        <f>IFERROR(__xludf.DUMMYFUNCTION("""COMPUTED_VALUE"""),9.97)</f>
        <v>9.97</v>
      </c>
      <c r="J12" s="62">
        <f>IFERROR(__xludf.DUMMYFUNCTION("""COMPUTED_VALUE"""),0.00504)</f>
        <v>0.00504</v>
      </c>
      <c r="K12" s="59" t="str">
        <f>IFERROR(__xludf.DUMMYFUNCTION("""COMPUTED_VALUE""")," ")</f>
        <v> </v>
      </c>
      <c r="L12" s="63" t="str">
        <f>IFERROR(__xludf.DUMMYFUNCTION("""COMPUTED_VALUE""")," ")</f>
        <v> </v>
      </c>
      <c r="M12" s="64" t="str">
        <f>IFERROR(__xludf.DUMMYFUNCTION("""COMPUTED_VALUE"""),"U: [No units]; W: [No warrants]")</f>
        <v>U: [No units]; W: [No warrants]</v>
      </c>
      <c r="N12" s="65" t="str">
        <f>IFERROR(__xludf.DUMMYFUNCTION("""COMPUTED_VALUE"""),"")</f>
        <v/>
      </c>
      <c r="O12" s="66">
        <f>IFERROR(__xludf.DUMMYFUNCTION("""COMPUTED_VALUE"""),0.0)</f>
        <v>0</v>
      </c>
      <c r="P12" s="67">
        <f>IFERROR(__xludf.DUMMYFUNCTION("""COMPUTED_VALUE"""),44243.0)</f>
        <v>44243</v>
      </c>
      <c r="Q12" s="68">
        <f>IFERROR(__xludf.DUMMYFUNCTION("""COMPUTED_VALUE"""),131.0)</f>
        <v>131</v>
      </c>
      <c r="R12" s="69" t="str">
        <f>IFERROR(__xludf.DUMMYFUNCTION("""COMPUTED_VALUE"""),"Jefferies")</f>
        <v>Jefferies</v>
      </c>
      <c r="S12" s="64">
        <f>IFERROR(__xludf.DUMMYFUNCTION("""COMPUTED_VALUE"""),44973.0)</f>
        <v>44973</v>
      </c>
      <c r="T12" s="70">
        <f>IFERROR(__xludf.DUMMYFUNCTION("""COMPUTED_VALUE"""),0.07260273972602739)</f>
        <v>0.07260273973</v>
      </c>
      <c r="U12" s="71" t="str">
        <f>IFERROR(__xludf.DUMMYFUNCTION("""COMPUTED_VALUE"""),"https://www.sec.gov/cgi-bin/browse-edgar?CIK=1833764")</f>
        <v>https://www.sec.gov/cgi-bin/browse-edgar?CIK=1833764</v>
      </c>
      <c r="V12" s="72" t="str">
        <f>IFERROR(__xludf.DUMMYFUNCTION("""COMPUTED_VALUE""")," Trading Below $10 (Common)           Recent Split")</f>
        <v> Trading Below $10 (Common)           Recent Split</v>
      </c>
      <c r="W12" s="73"/>
      <c r="X12" s="74"/>
      <c r="Y12" s="75"/>
      <c r="Z12" s="60"/>
      <c r="AA12" s="60"/>
      <c r="AB12" s="60"/>
      <c r="AC12" s="60"/>
      <c r="AD12" s="73"/>
      <c r="AE12" s="73"/>
      <c r="AF12" s="76"/>
      <c r="AG12" s="60" t="str">
        <f>IFERROR(__xludf.DUMMYFUNCTION("""COMPUTED_VALUE"""),"")</f>
        <v/>
      </c>
    </row>
    <row r="13">
      <c r="A13" s="54" t="str">
        <f>IFERROR(__xludf.DUMMYFUNCTION("""COMPUTED_VALUE"""),"ACAC")</f>
        <v>ACAC</v>
      </c>
      <c r="B13" s="55" t="str">
        <f>IFERROR(__xludf.DUMMYFUNCTION("""COMPUTED_VALUE"""),"Acies Acquisition Corp.")</f>
        <v>Acies Acquisition Corp.</v>
      </c>
      <c r="C13" s="56" t="str">
        <f>IFERROR(__xludf.DUMMYFUNCTION("""COMPUTED_VALUE"""),"Definitive Agreement")</f>
        <v>Definitive Agreement</v>
      </c>
      <c r="D13" s="77" t="str">
        <f>IFERROR(__xludf.DUMMYFUNCTION("""COMPUTED_VALUE"""),"Live events, Entertainment, Gaming, Hospitality, Sports, Casino")</f>
        <v>Live events, Entertainment, Gaming, Hospitality, Sports, Casino</v>
      </c>
      <c r="E13" s="58" t="str">
        <f>IFERROR(__xludf.DUMMYFUNCTION("""COMPUTED_VALUE"""),"PLAYSTUDIOS [DA: 02/01/21]")</f>
        <v>PLAYSTUDIOS [DA: 02/01/21]</v>
      </c>
      <c r="F13" s="59" t="str">
        <f>IFERROR(__xludf.DUMMYFUNCTION("""COMPUTED_VALUE"""),"James Murren (Fmr CEO, MGM International), Sam Kennedy (Pres/CEO, Boston Red Sox)")</f>
        <v>James Murren (Fmr CEO, MGM International), Sam Kennedy (Pres/CEO, Boston Red Sox)</v>
      </c>
      <c r="G13" s="60">
        <f>IFERROR(__xludf.DUMMYFUNCTION("""COMPUTED_VALUE"""),2.0E8)</f>
        <v>200000000</v>
      </c>
      <c r="H13" s="60">
        <f>IFERROR(__xludf.DUMMYFUNCTION("""COMPUTED_VALUE"""),2.1460425E8)</f>
        <v>214604250</v>
      </c>
      <c r="I13" s="61">
        <f>IFERROR(__xludf.DUMMYFUNCTION("""COMPUTED_VALUE"""),9.97)</f>
        <v>9.97</v>
      </c>
      <c r="J13" s="62">
        <f>IFERROR(__xludf.DUMMYFUNCTION("""COMPUTED_VALUE"""),0.00201)</f>
        <v>0.00201</v>
      </c>
      <c r="K13" s="59">
        <f>IFERROR(__xludf.DUMMYFUNCTION("""COMPUTED_VALUE"""),10.47)</f>
        <v>10.47</v>
      </c>
      <c r="L13" s="63">
        <f>IFERROR(__xludf.DUMMYFUNCTION("""COMPUTED_VALUE"""),1.63)</f>
        <v>1.63</v>
      </c>
      <c r="M13" s="64" t="str">
        <f>IFERROR(__xludf.DUMMYFUNCTION("""COMPUTED_VALUE"""),"U: [1/3 W]; W: [1:1, $11.5]")</f>
        <v>U: [1/3 W]; W: [1:1, $11.5]</v>
      </c>
      <c r="N13" s="65" t="str">
        <f>IFERROR(__xludf.DUMMYFUNCTION("""COMPUTED_VALUE"""),"")</f>
        <v/>
      </c>
      <c r="O13" s="66">
        <f>IFERROR(__xludf.DUMMYFUNCTION("""COMPUTED_VALUE"""),0.0)</f>
        <v>0</v>
      </c>
      <c r="P13" s="67">
        <f>IFERROR(__xludf.DUMMYFUNCTION("""COMPUTED_VALUE"""),44126.0)</f>
        <v>44126</v>
      </c>
      <c r="Q13" s="68">
        <f>IFERROR(__xludf.DUMMYFUNCTION("""COMPUTED_VALUE"""),200.0)</f>
        <v>200</v>
      </c>
      <c r="R13" s="69" t="str">
        <f>IFERROR(__xludf.DUMMYFUNCTION("""COMPUTED_VALUE"""),"Morgan Stanley, Oppenheimer, JP Morgan")</f>
        <v>Morgan Stanley, Oppenheimer, JP Morgan</v>
      </c>
      <c r="S13" s="64">
        <f>IFERROR(__xludf.DUMMYFUNCTION("""COMPUTED_VALUE"""),44856.0)</f>
        <v>44856</v>
      </c>
      <c r="T13" s="70">
        <f>IFERROR(__xludf.DUMMYFUNCTION("""COMPUTED_VALUE"""),0.2328767123287671)</f>
        <v>0.2328767123</v>
      </c>
      <c r="U13" s="71" t="str">
        <f>IFERROR(__xludf.DUMMYFUNCTION("""COMPUTED_VALUE"""),"https://www.sec.gov/cgi-bin/browse-edgar?CIK=1823878")</f>
        <v>https://www.sec.gov/cgi-bin/browse-edgar?CIK=1823878</v>
      </c>
      <c r="V13" s="72" t="str">
        <f>IFERROR(__xludf.DUMMYFUNCTION("""COMPUTED_VALUE""")," Trading Below $10 (Common)        Well-known Sponsor  Top Tier UW ")</f>
        <v> Trading Below $10 (Common)        Well-known Sponsor  Top Tier UW </v>
      </c>
      <c r="W13" s="73">
        <f>IFERROR(__xludf.DUMMYFUNCTION("""COMPUTED_VALUE"""),44228.0)</f>
        <v>44228</v>
      </c>
      <c r="X13" s="79">
        <f>IFERROR(__xludf.DUMMYFUNCTION("""COMPUTED_VALUE"""),3.4)</f>
        <v>3.4</v>
      </c>
      <c r="Y13" s="80" t="str">
        <f>IFERROR(__xludf.DUMMYFUNCTION("""COMPUTED_VALUE"""),"https://www.businesswire.com/news/home/20210201005923/en/PLAYSTUDIOS-to-Become-the-First-Publicly-Listed-Mobile-Games-Company-Offering-Players-Real-World-Rewards")</f>
        <v>https://www.businesswire.com/news/home/20210201005923/en/PLAYSTUDIOS-to-Become-the-First-Publicly-Listed-Mobile-Games-Company-Offering-Players-Real-World-Rewards</v>
      </c>
      <c r="Z13" s="81" t="str">
        <f>IFERROR(__xludf.DUMMYFUNCTION("""COMPUTED_VALUE"""),"https://www.sec.gov/Archives/edgar/data/1823878/000110465921010465/tm214830d1_ex99-2.htm")</f>
        <v>https://www.sec.gov/Archives/edgar/data/1823878/000110465921010465/tm214830d1_ex99-2.htm</v>
      </c>
      <c r="AA13" s="60">
        <f>IFERROR(__xludf.DUMMYFUNCTION("""COMPUTED_VALUE"""),2.5E8)</f>
        <v>250000000</v>
      </c>
      <c r="AB13" s="60">
        <f>IFERROR(__xludf.DUMMYFUNCTION("""COMPUTED_VALUE"""),1.389E9)</f>
        <v>1389000000</v>
      </c>
      <c r="AC13" s="60"/>
      <c r="AD13" s="73"/>
      <c r="AE13" s="73"/>
      <c r="AF13" s="76">
        <f>IFERROR(__xludf.DUMMYFUNCTION("""COMPUTED_VALUE"""),1.389E8)</f>
        <v>138900000</v>
      </c>
      <c r="AG13" s="60">
        <f>IFERROR(__xludf.DUMMYFUNCTION("""COMPUTED_VALUE"""),1.384833E9)</f>
        <v>1384833000</v>
      </c>
    </row>
    <row r="14">
      <c r="A14" s="54" t="str">
        <f>IFERROR(__xludf.DUMMYFUNCTION("""COMPUTED_VALUE"""),"ACAH")</f>
        <v>ACAH</v>
      </c>
      <c r="B14" s="55" t="str">
        <f>IFERROR(__xludf.DUMMYFUNCTION("""COMPUTED_VALUE"""),"Atlantic Coastal Acquisition Corp.")</f>
        <v>Atlantic Coastal Acquisition Corp.</v>
      </c>
      <c r="C14" s="56" t="str">
        <f>IFERROR(__xludf.DUMMYFUNCTION("""COMPUTED_VALUE"""),"Searching (Pre Unit Split)")</f>
        <v>Searching (Pre Unit Split)</v>
      </c>
      <c r="D14" s="77" t="str">
        <f>IFERROR(__xludf.DUMMYFUNCTION("""COMPUTED_VALUE"""),"Next-generation Mobility")</f>
        <v>Next-generation Mobility</v>
      </c>
      <c r="E14" s="58"/>
      <c r="F14" s="59" t="str">
        <f>IFERROR(__xludf.DUMMYFUNCTION("""COMPUTED_VALUE"""),"Shahraab Ahmad (Founder/CIO, Decca Capital), Bryan Dove (Former CEO, Skyscanner)")</f>
        <v>Shahraab Ahmad (Founder/CIO, Decca Capital), Bryan Dove (Former CEO, Skyscanner)</v>
      </c>
      <c r="G14" s="60">
        <f>IFERROR(__xludf.DUMMYFUNCTION("""COMPUTED_VALUE"""),3.0E8)</f>
        <v>300000000</v>
      </c>
      <c r="H14" s="60" t="str">
        <f>IFERROR(__xludf.DUMMYFUNCTION("""COMPUTED_VALUE""")," ")</f>
        <v> </v>
      </c>
      <c r="I14" s="61" t="str">
        <f>IFERROR(__xludf.DUMMYFUNCTION("""COMPUTED_VALUE""")," ")</f>
        <v> </v>
      </c>
      <c r="J14" s="62" t="str">
        <f>IFERROR(__xludf.DUMMYFUNCTION("""COMPUTED_VALUE""")," ")</f>
        <v> </v>
      </c>
      <c r="K14" s="59">
        <f>IFERROR(__xludf.DUMMYFUNCTION("""COMPUTED_VALUE"""),10.03)</f>
        <v>10.03</v>
      </c>
      <c r="L14" s="63" t="str">
        <f>IFERROR(__xludf.DUMMYFUNCTION("""COMPUTED_VALUE""")," ")</f>
        <v> </v>
      </c>
      <c r="M14" s="64" t="str">
        <f>IFERROR(__xludf.DUMMYFUNCTION("""COMPUTED_VALUE"""),"U: [1/3 W]; W: [1:1, $11.5]")</f>
        <v>U: [1/3 W]; W: [1:1, $11.5]</v>
      </c>
      <c r="N14" s="65">
        <f>IFERROR(__xludf.DUMMYFUNCTION("""COMPUTED_VALUE"""),44310.0)</f>
        <v>44310</v>
      </c>
      <c r="O14" s="66" t="str">
        <f>IFERROR(__xludf.DUMMYFUNCTION("""COMPUTED_VALUE"""),"")</f>
        <v/>
      </c>
      <c r="P14" s="67">
        <f>IFERROR(__xludf.DUMMYFUNCTION("""COMPUTED_VALUE"""),44258.0)</f>
        <v>44258</v>
      </c>
      <c r="Q14" s="68">
        <f>IFERROR(__xludf.DUMMYFUNCTION("""COMPUTED_VALUE"""),300.0)</f>
        <v>300</v>
      </c>
      <c r="R14" s="69" t="str">
        <f>IFERROR(__xludf.DUMMYFUNCTION("""COMPUTED_VALUE"""),"BTIG")</f>
        <v>BTIG</v>
      </c>
      <c r="S14" s="64">
        <f>IFERROR(__xludf.DUMMYFUNCTION("""COMPUTED_VALUE"""),44988.0)</f>
        <v>44988</v>
      </c>
      <c r="T14" s="70">
        <f>IFERROR(__xludf.DUMMYFUNCTION("""COMPUTED_VALUE"""),0.052054794520547946)</f>
        <v>0.05205479452</v>
      </c>
      <c r="U14" s="71" t="str">
        <f>IFERROR(__xludf.DUMMYFUNCTION("""COMPUTED_VALUE"""),"https://www.sec.gov/cgi-bin/browse-edgar?CIK=1836274")</f>
        <v>https://www.sec.gov/cgi-bin/browse-edgar?CIK=1836274</v>
      </c>
      <c r="V14" s="72" t="str">
        <f>IFERROR(__xludf.DUMMYFUNCTION("""COMPUTED_VALUE"""),"            ")</f>
        <v>            </v>
      </c>
      <c r="W14" s="73"/>
      <c r="X14" s="74"/>
      <c r="Y14" s="75"/>
      <c r="Z14" s="60"/>
      <c r="AA14" s="60"/>
      <c r="AB14" s="60"/>
      <c r="AC14" s="60"/>
      <c r="AD14" s="73"/>
      <c r="AE14" s="73"/>
      <c r="AF14" s="76"/>
      <c r="AG14" s="60"/>
    </row>
    <row r="15">
      <c r="A15" s="54" t="str">
        <f>IFERROR(__xludf.DUMMYFUNCTION("""COMPUTED_VALUE"""),"ACAM")</f>
        <v>ACAM</v>
      </c>
      <c r="B15" s="55" t="str">
        <f>IFERROR(__xludf.DUMMYFUNCTION("""COMPUTED_VALUE"""),"Acamar Partners Acquisition Corp. II")</f>
        <v>Acamar Partners Acquisition Corp. II</v>
      </c>
      <c r="C15" s="56" t="str">
        <f>IFERROR(__xludf.DUMMYFUNCTION("""COMPUTED_VALUE"""),"Pre IPO")</f>
        <v>Pre IPO</v>
      </c>
      <c r="D15" s="77" t="str">
        <f>IFERROR(__xludf.DUMMYFUNCTION("""COMPUTED_VALUE"""),"Consumer, Retail")</f>
        <v>Consumer, Retail</v>
      </c>
      <c r="E15" s="58"/>
      <c r="F15" s="59" t="str">
        <f>IFERROR(__xludf.DUMMYFUNCTION("""COMPUTED_VALUE"""),"Domenico De Sole (Co-founder &amp; Chairman of Tom Ford and Former CEO of Gucci Group), James Skinner (Former Vice Chairman, COO &amp; CFO of Neiman Marcus Group)")</f>
        <v>Domenico De Sole (Co-founder &amp; Chairman of Tom Ford and Former CEO of Gucci Group), James Skinner (Former Vice Chairman, COO &amp; CFO of Neiman Marcus Group)</v>
      </c>
      <c r="G15" s="60">
        <f>IFERROR(__xludf.DUMMYFUNCTION("""COMPUTED_VALUE"""),3.5E8)</f>
        <v>350000000</v>
      </c>
      <c r="H15" s="60" t="str">
        <f>IFERROR(__xludf.DUMMYFUNCTION("""COMPUTED_VALUE""")," ")</f>
        <v> </v>
      </c>
      <c r="I15" s="61" t="str">
        <f>IFERROR(__xludf.DUMMYFUNCTION("""COMPUTED_VALUE""")," ")</f>
        <v> </v>
      </c>
      <c r="J15" s="62" t="str">
        <f>IFERROR(__xludf.DUMMYFUNCTION("""COMPUTED_VALUE""")," ")</f>
        <v> </v>
      </c>
      <c r="K15" s="59" t="str">
        <f>IFERROR(__xludf.DUMMYFUNCTION("""COMPUTED_VALUE""")," ")</f>
        <v> </v>
      </c>
      <c r="L15" s="63" t="str">
        <f>IFERROR(__xludf.DUMMYFUNCTION("""COMPUTED_VALUE""")," ")</f>
        <v> </v>
      </c>
      <c r="M15" s="64" t="str">
        <f>IFERROR(__xludf.DUMMYFUNCTION("""COMPUTED_VALUE"""),"U: [1/4 W]; W: [1:1, $11.5]")</f>
        <v>U: [1/4 W]; W: [1:1, $11.5]</v>
      </c>
      <c r="N15" s="65" t="str">
        <f>IFERROR(__xludf.DUMMYFUNCTION("""COMPUTED_VALUE"""),"")</f>
        <v/>
      </c>
      <c r="O15" s="66">
        <f>IFERROR(__xludf.DUMMYFUNCTION("""COMPUTED_VALUE"""),0.0)</f>
        <v>0</v>
      </c>
      <c r="P15" s="67"/>
      <c r="Q15" s="68">
        <f>IFERROR(__xludf.DUMMYFUNCTION("""COMPUTED_VALUE"""),350.0)</f>
        <v>350</v>
      </c>
      <c r="R15" s="69" t="str">
        <f>IFERROR(__xludf.DUMMYFUNCTION("""COMPUTED_VALUE"""),"BofA Securities, Credit Suisse, Goldman Sachs")</f>
        <v>BofA Securities, Credit Suisse, Goldman Sachs</v>
      </c>
      <c r="S15" s="64">
        <f>IFERROR(__xludf.DUMMYFUNCTION("""COMPUTED_VALUE"""),45086.0)</f>
        <v>45086</v>
      </c>
      <c r="T15" s="70" t="str">
        <f>IFERROR(__xludf.DUMMYFUNCTION("""COMPUTED_VALUE"""),"")</f>
        <v/>
      </c>
      <c r="U15" s="71" t="str">
        <f>IFERROR(__xludf.DUMMYFUNCTION("""COMPUTED_VALUE"""),"https://www.sec.gov/cgi-bin/browse-edgar?CIK=1846125")</f>
        <v>https://www.sec.gov/cgi-bin/browse-edgar?CIK=1846125</v>
      </c>
      <c r="V15" s="72" t="str">
        <f>IFERROR(__xludf.DUMMYFUNCTION("""COMPUTED_VALUE"""),"           Top Tier UW ")</f>
        <v>           Top Tier UW </v>
      </c>
      <c r="W15" s="73"/>
      <c r="X15" s="74"/>
      <c r="Y15" s="75"/>
      <c r="Z15" s="60"/>
      <c r="AA15" s="60"/>
      <c r="AB15" s="60"/>
      <c r="AC15" s="60"/>
      <c r="AD15" s="73"/>
      <c r="AE15" s="73"/>
      <c r="AF15" s="76"/>
      <c r="AG15" s="60"/>
    </row>
    <row r="16">
      <c r="A16" s="54" t="str">
        <f>IFERROR(__xludf.DUMMYFUNCTION("""COMPUTED_VALUE"""),"ACBA")</f>
        <v>ACBA</v>
      </c>
      <c r="B16" s="55" t="str">
        <f>IFERROR(__xludf.DUMMYFUNCTION("""COMPUTED_VALUE"""),"Ace Global Business Acquisition Ltd")</f>
        <v>Ace Global Business Acquisition Ltd</v>
      </c>
      <c r="C16" s="56" t="str">
        <f>IFERROR(__xludf.DUMMYFUNCTION("""COMPUTED_VALUE"""),"Searching (Pre Unit Split)")</f>
        <v>Searching (Pre Unit Split)</v>
      </c>
      <c r="D16" s="77" t="str">
        <f>IFERROR(__xludf.DUMMYFUNCTION("""COMPUTED_VALUE"""),"Gaming, E-commerce (China, Japan &amp; SE Asia)")</f>
        <v>Gaming, E-commerce (China, Japan &amp; SE Asia)</v>
      </c>
      <c r="E16" s="58"/>
      <c r="F16" s="59"/>
      <c r="G16" s="60">
        <f>IFERROR(__xludf.DUMMYFUNCTION("""COMPUTED_VALUE"""),4.692E7)</f>
        <v>46920000</v>
      </c>
      <c r="H16" s="60" t="str">
        <f>IFERROR(__xludf.DUMMYFUNCTION("""COMPUTED_VALUE""")," ")</f>
        <v> </v>
      </c>
      <c r="I16" s="61" t="str">
        <f>IFERROR(__xludf.DUMMYFUNCTION("""COMPUTED_VALUE""")," ")</f>
        <v> </v>
      </c>
      <c r="J16" s="62" t="str">
        <f>IFERROR(__xludf.DUMMYFUNCTION("""COMPUTED_VALUE""")," ")</f>
        <v> </v>
      </c>
      <c r="K16" s="59">
        <f>IFERROR(__xludf.DUMMYFUNCTION("""COMPUTED_VALUE"""),10.07)</f>
        <v>10.07</v>
      </c>
      <c r="L16" s="63" t="str">
        <f>IFERROR(__xludf.DUMMYFUNCTION("""COMPUTED_VALUE""")," ")</f>
        <v> </v>
      </c>
      <c r="M16" s="64" t="str">
        <f>IFERROR(__xludf.DUMMYFUNCTION("""COMPUTED_VALUE"""),"U: [1 W]; W: [1:1, $11.5]")</f>
        <v>U: [1 W]; W: [1:1, $11.5]</v>
      </c>
      <c r="N16" s="65">
        <f>IFERROR(__xludf.DUMMYFUNCTION("""COMPUTED_VALUE"""),44343.0)</f>
        <v>44343</v>
      </c>
      <c r="O16" s="66" t="str">
        <f>IFERROR(__xludf.DUMMYFUNCTION("""COMPUTED_VALUE"""),"")</f>
        <v/>
      </c>
      <c r="P16" s="67">
        <f>IFERROR(__xludf.DUMMYFUNCTION("""COMPUTED_VALUE"""),44291.0)</f>
        <v>44291</v>
      </c>
      <c r="Q16" s="68">
        <f>IFERROR(__xludf.DUMMYFUNCTION("""COMPUTED_VALUE"""),46.92)</f>
        <v>46.92</v>
      </c>
      <c r="R16" s="69" t="str">
        <f>IFERROR(__xludf.DUMMYFUNCTION("""COMPUTED_VALUE"""),"Ladenburg Thalmann, Brookline Capital Markets")</f>
        <v>Ladenburg Thalmann, Brookline Capital Markets</v>
      </c>
      <c r="S16" s="64">
        <f>IFERROR(__xludf.DUMMYFUNCTION("""COMPUTED_VALUE"""),44747.25)</f>
        <v>44747.25</v>
      </c>
      <c r="T16" s="70">
        <f>IFERROR(__xludf.DUMMYFUNCTION("""COMPUTED_VALUE"""),0.010958904109589041)</f>
        <v>0.01095890411</v>
      </c>
      <c r="U16" s="71" t="str">
        <f>IFERROR(__xludf.DUMMYFUNCTION("""COMPUTED_VALUE"""),"https://www.sec.gov/cgi-bin/browse-edgar?CIK=1844389")</f>
        <v>https://www.sec.gov/cgi-bin/browse-edgar?CIK=1844389</v>
      </c>
      <c r="V16" s="72" t="str">
        <f>IFERROR(__xludf.DUMMYFUNCTION("""COMPUTED_VALUE"""),"  Recent IPO          ")</f>
        <v>  Recent IPO          </v>
      </c>
      <c r="W16" s="73"/>
      <c r="X16" s="74"/>
      <c r="Y16" s="75"/>
      <c r="Z16" s="60"/>
      <c r="AA16" s="60"/>
      <c r="AB16" s="60"/>
      <c r="AC16" s="60"/>
      <c r="AD16" s="73"/>
      <c r="AE16" s="73"/>
      <c r="AF16" s="76"/>
      <c r="AG16" s="60"/>
    </row>
    <row r="17">
      <c r="A17" s="54" t="str">
        <f>IFERROR(__xludf.DUMMYFUNCTION("""COMPUTED_VALUE"""),"ACCC")</f>
        <v>ACCC</v>
      </c>
      <c r="B17" s="55" t="str">
        <f>IFERROR(__xludf.DUMMYFUNCTION("""COMPUTED_VALUE"""),"Atlas Crest Investment Corp. III")</f>
        <v>Atlas Crest Investment Corp. III</v>
      </c>
      <c r="C17" s="56" t="str">
        <f>IFERROR(__xludf.DUMMYFUNCTION("""COMPUTED_VALUE"""),"Pre IPO")</f>
        <v>Pre IPO</v>
      </c>
      <c r="D17" s="57" t="str">
        <f>IFERROR(__xludf.DUMMYFUNCTION("""COMPUTED_VALUE"""),"Media, Fintech/payments, Software, Tech, Online gaming/sports betting, Healthcare, Consumer")</f>
        <v>Media, Fintech/payments, Software, Tech, Online gaming/sports betting, Healthcare, Consumer</v>
      </c>
      <c r="E17" s="58"/>
      <c r="F17" s="59" t="str">
        <f>IFERROR(__xludf.DUMMYFUNCTION("""COMPUTED_VALUE"""),"Ken Moelis (Chairman &amp; CEO of Moelis &amp; Co)")</f>
        <v>Ken Moelis (Chairman &amp; CEO of Moelis &amp; Co)</v>
      </c>
      <c r="G17" s="60">
        <f>IFERROR(__xludf.DUMMYFUNCTION("""COMPUTED_VALUE"""),6.0E8)</f>
        <v>600000000</v>
      </c>
      <c r="H17" s="60" t="str">
        <f>IFERROR(__xludf.DUMMYFUNCTION("""COMPUTED_VALUE""")," ")</f>
        <v> </v>
      </c>
      <c r="I17" s="61" t="str">
        <f>IFERROR(__xludf.DUMMYFUNCTION("""COMPUTED_VALUE""")," ")</f>
        <v> </v>
      </c>
      <c r="J17" s="62" t="str">
        <f>IFERROR(__xludf.DUMMYFUNCTION("""COMPUTED_VALUE""")," ")</f>
        <v> </v>
      </c>
      <c r="K17" s="59" t="str">
        <f>IFERROR(__xludf.DUMMYFUNCTION("""COMPUTED_VALUE""")," ")</f>
        <v> </v>
      </c>
      <c r="L17" s="63" t="str">
        <f>IFERROR(__xludf.DUMMYFUNCTION("""COMPUTED_VALUE""")," ")</f>
        <v> </v>
      </c>
      <c r="M17" s="64" t="str">
        <f>IFERROR(__xludf.DUMMYFUNCTION("""COMPUTED_VALUE"""),"U: [1/4 W]; W: [1:1, $11.5]")</f>
        <v>U: [1/4 W]; W: [1:1, $11.5]</v>
      </c>
      <c r="N17" s="65" t="str">
        <f>IFERROR(__xludf.DUMMYFUNCTION("""COMPUTED_VALUE"""),"")</f>
        <v/>
      </c>
      <c r="O17" s="66">
        <f>IFERROR(__xludf.DUMMYFUNCTION("""COMPUTED_VALUE"""),0.0)</f>
        <v>0</v>
      </c>
      <c r="P17" s="67"/>
      <c r="Q17" s="68">
        <f>IFERROR(__xludf.DUMMYFUNCTION("""COMPUTED_VALUE"""),600.0)</f>
        <v>600</v>
      </c>
      <c r="R17" s="69" t="str">
        <f>IFERROR(__xludf.DUMMYFUNCTION("""COMPUTED_VALUE"""),"Cantor")</f>
        <v>Cantor</v>
      </c>
      <c r="S17" s="64">
        <f>IFERROR(__xludf.DUMMYFUNCTION("""COMPUTED_VALUE"""),45086.0)</f>
        <v>45086</v>
      </c>
      <c r="T17" s="70" t="str">
        <f>IFERROR(__xludf.DUMMYFUNCTION("""COMPUTED_VALUE"""),"")</f>
        <v/>
      </c>
      <c r="U17" s="71" t="str">
        <f>IFERROR(__xludf.DUMMYFUNCTION("""COMPUTED_VALUE"""),"https://www.sec.gov/cgi-bin/browse-edgar?CIK=1847507")</f>
        <v>https://www.sec.gov/cgi-bin/browse-edgar?CIK=1847507</v>
      </c>
      <c r="V17" s="72" t="str">
        <f>IFERROR(__xludf.DUMMYFUNCTION("""COMPUTED_VALUE"""),"   $500M+ Trust     Well-known Sponsor Serial Sponsor  ")</f>
        <v>   $500M+ Trust     Well-known Sponsor Serial Sponsor  </v>
      </c>
      <c r="W17" s="73"/>
      <c r="X17" s="74"/>
      <c r="Y17" s="75"/>
      <c r="Z17" s="60"/>
      <c r="AA17" s="60"/>
      <c r="AB17" s="60"/>
      <c r="AC17" s="60"/>
      <c r="AD17" s="73"/>
      <c r="AE17" s="73"/>
      <c r="AF17" s="76"/>
      <c r="AG17" s="60"/>
    </row>
    <row r="18">
      <c r="A18" s="54" t="str">
        <f>IFERROR(__xludf.DUMMYFUNCTION("""COMPUTED_VALUE"""),"ACCV")</f>
        <v>ACCV</v>
      </c>
      <c r="B18" s="55" t="str">
        <f>IFERROR(__xludf.DUMMYFUNCTION("""COMPUTED_VALUE"""),"Atlas Crest Investment Corp. V")</f>
        <v>Atlas Crest Investment Corp. V</v>
      </c>
      <c r="C18" s="56" t="str">
        <f>IFERROR(__xludf.DUMMYFUNCTION("""COMPUTED_VALUE"""),"Pre IPO")</f>
        <v>Pre IPO</v>
      </c>
      <c r="D18" s="57" t="str">
        <f>IFERROR(__xludf.DUMMYFUNCTION("""COMPUTED_VALUE"""),"Media, Fintech/payments, Software, Tech, Online gaming/sports betting, Healthcare, Consumer")</f>
        <v>Media, Fintech/payments, Software, Tech, Online gaming/sports betting, Healthcare, Consumer</v>
      </c>
      <c r="E18" s="58"/>
      <c r="F18" s="59" t="str">
        <f>IFERROR(__xludf.DUMMYFUNCTION("""COMPUTED_VALUE"""),"Ken Moelis (Chairman &amp; CEO of Moelis &amp; Co)")</f>
        <v>Ken Moelis (Chairman &amp; CEO of Moelis &amp; Co)</v>
      </c>
      <c r="G18" s="60">
        <f>IFERROR(__xludf.DUMMYFUNCTION("""COMPUTED_VALUE"""),2.0E8)</f>
        <v>200000000</v>
      </c>
      <c r="H18" s="60" t="str">
        <f>IFERROR(__xludf.DUMMYFUNCTION("""COMPUTED_VALUE""")," ")</f>
        <v> </v>
      </c>
      <c r="I18" s="61" t="str">
        <f>IFERROR(__xludf.DUMMYFUNCTION("""COMPUTED_VALUE""")," ")</f>
        <v> </v>
      </c>
      <c r="J18" s="62" t="str">
        <f>IFERROR(__xludf.DUMMYFUNCTION("""COMPUTED_VALUE""")," ")</f>
        <v> </v>
      </c>
      <c r="K18" s="59" t="str">
        <f>IFERROR(__xludf.DUMMYFUNCTION("""COMPUTED_VALUE""")," ")</f>
        <v> </v>
      </c>
      <c r="L18" s="63" t="str">
        <f>IFERROR(__xludf.DUMMYFUNCTION("""COMPUTED_VALUE""")," ")</f>
        <v> </v>
      </c>
      <c r="M18" s="64" t="str">
        <f>IFERROR(__xludf.DUMMYFUNCTION("""COMPUTED_VALUE"""),"U: [1/4 W]; W: [1:1, $11.5]")</f>
        <v>U: [1/4 W]; W: [1:1, $11.5]</v>
      </c>
      <c r="N18" s="65" t="str">
        <f>IFERROR(__xludf.DUMMYFUNCTION("""COMPUTED_VALUE"""),"")</f>
        <v/>
      </c>
      <c r="O18" s="66">
        <f>IFERROR(__xludf.DUMMYFUNCTION("""COMPUTED_VALUE"""),0.0)</f>
        <v>0</v>
      </c>
      <c r="P18" s="67"/>
      <c r="Q18" s="68">
        <f>IFERROR(__xludf.DUMMYFUNCTION("""COMPUTED_VALUE"""),200.0)</f>
        <v>200</v>
      </c>
      <c r="R18" s="69" t="str">
        <f>IFERROR(__xludf.DUMMYFUNCTION("""COMPUTED_VALUE"""),"Cantor")</f>
        <v>Cantor</v>
      </c>
      <c r="S18" s="64">
        <f>IFERROR(__xludf.DUMMYFUNCTION("""COMPUTED_VALUE"""),45086.0)</f>
        <v>45086</v>
      </c>
      <c r="T18" s="70" t="str">
        <f>IFERROR(__xludf.DUMMYFUNCTION("""COMPUTED_VALUE"""),"")</f>
        <v/>
      </c>
      <c r="U18" s="71" t="str">
        <f>IFERROR(__xludf.DUMMYFUNCTION("""COMPUTED_VALUE"""),"https://www.sec.gov/cgi-bin/browse-edgar?CIK=1847499")</f>
        <v>https://www.sec.gov/cgi-bin/browse-edgar?CIK=1847499</v>
      </c>
      <c r="V18" s="72" t="str">
        <f>IFERROR(__xludf.DUMMYFUNCTION("""COMPUTED_VALUE"""),"         Well-known Sponsor Serial Sponsor  ")</f>
        <v>         Well-known Sponsor Serial Sponsor  </v>
      </c>
      <c r="W18" s="73"/>
      <c r="X18" s="74"/>
      <c r="Y18" s="75"/>
      <c r="Z18" s="60"/>
      <c r="AA18" s="60"/>
      <c r="AB18" s="60"/>
      <c r="AC18" s="60"/>
      <c r="AD18" s="73"/>
      <c r="AE18" s="73"/>
      <c r="AF18" s="76"/>
      <c r="AG18" s="60"/>
    </row>
    <row r="19">
      <c r="A19" s="54" t="str">
        <f>IFERROR(__xludf.DUMMYFUNCTION("""COMPUTED_VALUE"""),"ACEV")</f>
        <v>ACEV</v>
      </c>
      <c r="B19" s="55" t="str">
        <f>IFERROR(__xludf.DUMMYFUNCTION("""COMPUTED_VALUE"""),"ACE Convergence Acquisition Corp")</f>
        <v>ACE Convergence Acquisition Corp</v>
      </c>
      <c r="C19" s="56" t="str">
        <f>IFERROR(__xludf.DUMMYFUNCTION("""COMPUTED_VALUE"""),"Definitive Agreement")</f>
        <v>Definitive Agreement</v>
      </c>
      <c r="D19" s="77" t="str">
        <f>IFERROR(__xludf.DUMMYFUNCTION("""COMPUTED_VALUE"""),"Tech")</f>
        <v>Tech</v>
      </c>
      <c r="E19" s="58" t="str">
        <f>IFERROR(__xludf.DUMMYFUNCTION("""COMPUTED_VALUE"""),"Achronix Semiconductor Corp [DA: 01/07/21]")</f>
        <v>Achronix Semiconductor Corp [DA: 01/07/21]</v>
      </c>
      <c r="F19" s="59"/>
      <c r="G19" s="60">
        <f>IFERROR(__xludf.DUMMYFUNCTION("""COMPUTED_VALUE"""),2.30036426E8)</f>
        <v>230036426</v>
      </c>
      <c r="H19" s="60">
        <f>IFERROR(__xludf.DUMMYFUNCTION("""COMPUTED_VALUE"""),2.2885E8)</f>
        <v>228850000</v>
      </c>
      <c r="I19" s="61">
        <f>IFERROR(__xludf.DUMMYFUNCTION("""COMPUTED_VALUE"""),9.95)</f>
        <v>9.95</v>
      </c>
      <c r="J19" s="62">
        <f>IFERROR(__xludf.DUMMYFUNCTION("""COMPUTED_VALUE"""),-0.004)</f>
        <v>-0.004</v>
      </c>
      <c r="K19" s="59">
        <f>IFERROR(__xludf.DUMMYFUNCTION("""COMPUTED_VALUE"""),10.95)</f>
        <v>10.95</v>
      </c>
      <c r="L19" s="63">
        <f>IFERROR(__xludf.DUMMYFUNCTION("""COMPUTED_VALUE"""),2.04)</f>
        <v>2.04</v>
      </c>
      <c r="M19" s="64" t="str">
        <f>IFERROR(__xludf.DUMMYFUNCTION("""COMPUTED_VALUE"""),"U: [1/2 W]; W: [1:1, $11.5]")</f>
        <v>U: [1/2 W]; W: [1:1, $11.5]</v>
      </c>
      <c r="N19" s="65" t="str">
        <f>IFERROR(__xludf.DUMMYFUNCTION("""COMPUTED_VALUE"""),"")</f>
        <v/>
      </c>
      <c r="O19" s="66">
        <f>IFERROR(__xludf.DUMMYFUNCTION("""COMPUTED_VALUE"""),0.0)</f>
        <v>0</v>
      </c>
      <c r="P19" s="67">
        <f>IFERROR(__xludf.DUMMYFUNCTION("""COMPUTED_VALUE"""),44040.0)</f>
        <v>44040</v>
      </c>
      <c r="Q19" s="68">
        <f>IFERROR(__xludf.DUMMYFUNCTION("""COMPUTED_VALUE"""),230.0)</f>
        <v>230</v>
      </c>
      <c r="R19" s="69" t="str">
        <f>IFERROR(__xludf.DUMMYFUNCTION("""COMPUTED_VALUE"""),"Cantor")</f>
        <v>Cantor</v>
      </c>
      <c r="S19" s="64">
        <f>IFERROR(__xludf.DUMMYFUNCTION("""COMPUTED_VALUE"""),44587.5)</f>
        <v>44587.5</v>
      </c>
      <c r="T19" s="70">
        <f>IFERROR(__xludf.DUMMYFUNCTION("""COMPUTED_VALUE"""),0.46757990867579907)</f>
        <v>0.4675799087</v>
      </c>
      <c r="U19" s="71" t="str">
        <f>IFERROR(__xludf.DUMMYFUNCTION("""COMPUTED_VALUE"""),"https://www.sec.gov/cgi-bin/browse-edgar?CIK=1813658")</f>
        <v>https://www.sec.gov/cgi-bin/browse-edgar?CIK=1813658</v>
      </c>
      <c r="V19" s="72" t="str">
        <f>IFERROR(__xludf.DUMMYFUNCTION("""COMPUTED_VALUE""")," Trading Below $10 (Common)    Optionable       ")</f>
        <v> Trading Below $10 (Common)    Optionable       </v>
      </c>
      <c r="W19" s="73">
        <f>IFERROR(__xludf.DUMMYFUNCTION("""COMPUTED_VALUE"""),44203.0)</f>
        <v>44203</v>
      </c>
      <c r="X19" s="79">
        <f>IFERROR(__xludf.DUMMYFUNCTION("""COMPUTED_VALUE"""),5.433333333333334)</f>
        <v>5.433333333</v>
      </c>
      <c r="Y19" s="80" t="str">
        <f>IFERROR(__xludf.DUMMYFUNCTION("""COMPUTED_VALUE"""),"https://www.businesswire.com/news/home/20210107005892/en/Achronix-to-List-on-Nasdaq-Through-Merger-With-ACE-Convergence")</f>
        <v>https://www.businesswire.com/news/home/20210107005892/en/Achronix-to-List-on-Nasdaq-Through-Merger-With-ACE-Convergence</v>
      </c>
      <c r="Z19" s="81" t="str">
        <f>IFERROR(__xludf.DUMMYFUNCTION("""COMPUTED_VALUE"""),"https://www.achronix.com/sites/default/files/docs/Achronix_Ace_Merger_Presentation_VF.pdf")</f>
        <v>https://www.achronix.com/sites/default/files/docs/Achronix_Ace_Merger_Presentation_VF.pdf</v>
      </c>
      <c r="AA19" s="60">
        <f>IFERROR(__xludf.DUMMYFUNCTION("""COMPUTED_VALUE"""),2.3E8)</f>
        <v>230000000</v>
      </c>
      <c r="AB19" s="60">
        <f>IFERROR(__xludf.DUMMYFUNCTION("""COMPUTED_VALUE"""),2.073E9)</f>
        <v>2073000000</v>
      </c>
      <c r="AC19" s="60">
        <f>IFERROR(__xludf.DUMMYFUNCTION("""COMPUTED_VALUE"""),1.761E9)</f>
        <v>1761000000</v>
      </c>
      <c r="AD19" s="73"/>
      <c r="AE19" s="73"/>
      <c r="AF19" s="76">
        <f>IFERROR(__xludf.DUMMYFUNCTION("""COMPUTED_VALUE"""),2.073E8)</f>
        <v>207300000</v>
      </c>
      <c r="AG19" s="60">
        <f>IFERROR(__xludf.DUMMYFUNCTION("""COMPUTED_VALUE"""),2.0626349999999998E9)</f>
        <v>2062635000</v>
      </c>
    </row>
    <row r="20">
      <c r="A20" s="54" t="str">
        <f>IFERROR(__xludf.DUMMYFUNCTION("""COMPUTED_VALUE"""),"ACIC")</f>
        <v>ACIC</v>
      </c>
      <c r="B20" s="55" t="str">
        <f>IFERROR(__xludf.DUMMYFUNCTION("""COMPUTED_VALUE"""),"Atlas Crest Investment Corp.")</f>
        <v>Atlas Crest Investment Corp.</v>
      </c>
      <c r="C20" s="56" t="str">
        <f>IFERROR(__xludf.DUMMYFUNCTION("""COMPUTED_VALUE"""),"Definitive Agreement")</f>
        <v>Definitive Agreement</v>
      </c>
      <c r="D20" s="57"/>
      <c r="E20" s="58" t="str">
        <f>IFERROR(__xludf.DUMMYFUNCTION("""COMPUTED_VALUE"""),"Archer Aviation [DA: 02/10/21]")</f>
        <v>Archer Aviation [DA: 02/10/21]</v>
      </c>
      <c r="F20" s="59" t="str">
        <f>IFERROR(__xludf.DUMMYFUNCTION("""COMPUTED_VALUE"""),"Ken Moelis (Chairman/CEO, Moelis &amp; Co)")</f>
        <v>Ken Moelis (Chairman/CEO, Moelis &amp; Co)</v>
      </c>
      <c r="G20" s="60">
        <f>IFERROR(__xludf.DUMMYFUNCTION("""COMPUTED_VALUE"""),5.00098582E8)</f>
        <v>500098582</v>
      </c>
      <c r="H20" s="60">
        <f>IFERROR(__xludf.DUMMYFUNCTION("""COMPUTED_VALUE"""),5.105E8)</f>
        <v>510500000</v>
      </c>
      <c r="I20" s="61">
        <f>IFERROR(__xludf.DUMMYFUNCTION("""COMPUTED_VALUE"""),10.21)</f>
        <v>10.21</v>
      </c>
      <c r="J20" s="62">
        <f>IFERROR(__xludf.DUMMYFUNCTION("""COMPUTED_VALUE"""),-0.01827)</f>
        <v>-0.01827</v>
      </c>
      <c r="K20" s="59">
        <f>IFERROR(__xludf.DUMMYFUNCTION("""COMPUTED_VALUE"""),10.805)</f>
        <v>10.805</v>
      </c>
      <c r="L20" s="63">
        <f>IFERROR(__xludf.DUMMYFUNCTION("""COMPUTED_VALUE"""),1.9)</f>
        <v>1.9</v>
      </c>
      <c r="M20" s="64" t="str">
        <f>IFERROR(__xludf.DUMMYFUNCTION("""COMPUTED_VALUE"""),"U: [1/3 W]; W: [1:1, $11.5]")</f>
        <v>U: [1/3 W]; W: [1:1, $11.5]</v>
      </c>
      <c r="N20" s="65" t="str">
        <f>IFERROR(__xludf.DUMMYFUNCTION("""COMPUTED_VALUE"""),"")</f>
        <v/>
      </c>
      <c r="O20" s="66">
        <f>IFERROR(__xludf.DUMMYFUNCTION("""COMPUTED_VALUE"""),0.0)</f>
        <v>0</v>
      </c>
      <c r="P20" s="67">
        <f>IFERROR(__xludf.DUMMYFUNCTION("""COMPUTED_VALUE"""),44131.0)</f>
        <v>44131</v>
      </c>
      <c r="Q20" s="68">
        <f>IFERROR(__xludf.DUMMYFUNCTION("""COMPUTED_VALUE"""),500.0)</f>
        <v>500</v>
      </c>
      <c r="R20" s="69" t="str">
        <f>IFERROR(__xludf.DUMMYFUNCTION("""COMPUTED_VALUE"""),"Cantor")</f>
        <v>Cantor</v>
      </c>
      <c r="S20" s="64">
        <f>IFERROR(__xludf.DUMMYFUNCTION("""COMPUTED_VALUE"""),44861.0)</f>
        <v>44861</v>
      </c>
      <c r="T20" s="70">
        <f>IFERROR(__xludf.DUMMYFUNCTION("""COMPUTED_VALUE"""),0.22602739726027396)</f>
        <v>0.2260273973</v>
      </c>
      <c r="U20" s="71" t="str">
        <f>IFERROR(__xludf.DUMMYFUNCTION("""COMPUTED_VALUE"""),"https://www.sec.gov/cgi-bin/browse-edgar?CIK=1824502")</f>
        <v>https://www.sec.gov/cgi-bin/browse-edgar?CIK=1824502</v>
      </c>
      <c r="V20" s="72" t="str">
        <f>IFERROR(__xludf.DUMMYFUNCTION("""COMPUTED_VALUE"""),"Aerospace   $500M+ Trust     Well-known Sponsor Serial Sponsor  ")</f>
        <v>Aerospace   $500M+ Trust     Well-known Sponsor Serial Sponsor  </v>
      </c>
      <c r="W20" s="73">
        <f>IFERROR(__xludf.DUMMYFUNCTION("""COMPUTED_VALUE"""),44237.0)</f>
        <v>44237</v>
      </c>
      <c r="X20" s="79">
        <f>IFERROR(__xludf.DUMMYFUNCTION("""COMPUTED_VALUE"""),3.533333333333333)</f>
        <v>3.533333333</v>
      </c>
      <c r="Y20" s="80" t="str">
        <f>IFERROR(__xludf.DUMMYFUNCTION("""COMPUTED_VALUE"""),"https://www.globenewswire.com/news-release/2021/02/10/2173059/0/en/Archer-A-Leading-Urban-Air-Mobility-Company-To-List-On-NYSE-Through-Merger-With-Atlas-Crest-Investment-Corp.html")</f>
        <v>https://www.globenewswire.com/news-release/2021/02/10/2173059/0/en/Archer-A-Leading-Urban-Air-Mobility-Company-To-List-On-NYSE-Through-Merger-With-Atlas-Crest-Investment-Corp.html</v>
      </c>
      <c r="Z20" s="81" t="str">
        <f>IFERROR(__xludf.DUMMYFUNCTION("""COMPUTED_VALUE"""),"https://www.sec.gov/Archives/edgar/data/1824502/000121390021007940/ea134984ex99-2_atlascrest.htm")</f>
        <v>https://www.sec.gov/Archives/edgar/data/1824502/000121390021007940/ea134984ex99-2_atlascrest.htm</v>
      </c>
      <c r="AA20" s="60">
        <f>IFERROR(__xludf.DUMMYFUNCTION("""COMPUTED_VALUE"""),5.0E8)</f>
        <v>500000000</v>
      </c>
      <c r="AB20" s="60">
        <f>IFERROR(__xludf.DUMMYFUNCTION("""COMPUTED_VALUE"""),3.75E9)</f>
        <v>3750000000</v>
      </c>
      <c r="AC20" s="60">
        <f>IFERROR(__xludf.DUMMYFUNCTION("""COMPUTED_VALUE"""),2.713E9)</f>
        <v>2713000000</v>
      </c>
      <c r="AD20" s="73"/>
      <c r="AE20" s="73"/>
      <c r="AF20" s="76">
        <f>IFERROR(__xludf.DUMMYFUNCTION("""COMPUTED_VALUE"""),3.75E8)</f>
        <v>375000000</v>
      </c>
      <c r="AG20" s="60">
        <f>IFERROR(__xludf.DUMMYFUNCTION("""COMPUTED_VALUE"""),3.8287500000000005E9)</f>
        <v>3828750000</v>
      </c>
    </row>
    <row r="21">
      <c r="A21" s="54" t="str">
        <f>IFERROR(__xludf.DUMMYFUNCTION("""COMPUTED_VALUE"""),"ACII")</f>
        <v>ACII</v>
      </c>
      <c r="B21" s="55" t="str">
        <f>IFERROR(__xludf.DUMMYFUNCTION("""COMPUTED_VALUE"""),"Atlas Crest Investment Corp. II")</f>
        <v>Atlas Crest Investment Corp. II</v>
      </c>
      <c r="C21" s="56" t="str">
        <f>IFERROR(__xludf.DUMMYFUNCTION("""COMPUTED_VALUE"""),"Searching")</f>
        <v>Searching</v>
      </c>
      <c r="D21" s="57" t="str">
        <f>IFERROR(__xludf.DUMMYFUNCTION("""COMPUTED_VALUE"""),"Media, Fintech, Software, Tech, online gaming, sports betting, Healthcare, Consumer")</f>
        <v>Media, Fintech, Software, Tech, online gaming, sports betting, Healthcare, Consumer</v>
      </c>
      <c r="E21" s="58"/>
      <c r="F21" s="59" t="str">
        <f>IFERROR(__xludf.DUMMYFUNCTION("""COMPUTED_VALUE"""),"Ken Moelis (Chairman/CEO, Moelis &amp; Co)")</f>
        <v>Ken Moelis (Chairman/CEO, Moelis &amp; Co)</v>
      </c>
      <c r="G21" s="60">
        <f>IFERROR(__xludf.DUMMYFUNCTION("""COMPUTED_VALUE"""),3.45E8)</f>
        <v>345000000</v>
      </c>
      <c r="H21" s="60">
        <f>IFERROR(__xludf.DUMMYFUNCTION("""COMPUTED_VALUE"""),3.45E8)</f>
        <v>345000000</v>
      </c>
      <c r="I21" s="61">
        <f>IFERROR(__xludf.DUMMYFUNCTION("""COMPUTED_VALUE"""),10.0)</f>
        <v>10</v>
      </c>
      <c r="J21" s="62">
        <f>IFERROR(__xludf.DUMMYFUNCTION("""COMPUTED_VALUE"""),-0.01039)</f>
        <v>-0.01039</v>
      </c>
      <c r="K21" s="59">
        <f>IFERROR(__xludf.DUMMYFUNCTION("""COMPUTED_VALUE"""),10.27)</f>
        <v>10.27</v>
      </c>
      <c r="L21" s="63">
        <f>IFERROR(__xludf.DUMMYFUNCTION("""COMPUTED_VALUE"""),1.13)</f>
        <v>1.13</v>
      </c>
      <c r="M21" s="64" t="str">
        <f>IFERROR(__xludf.DUMMYFUNCTION("""COMPUTED_VALUE"""),"U: [1/4 W]; W: [1:1, $11.5]")</f>
        <v>U: [1/4 W]; W: [1:1, $11.5]</v>
      </c>
      <c r="N21" s="65">
        <f>IFERROR(__xludf.DUMMYFUNCTION("""COMPUTED_VALUE"""),44284.0)</f>
        <v>44284</v>
      </c>
      <c r="O21" s="66">
        <f>IFERROR(__xludf.DUMMYFUNCTION("""COMPUTED_VALUE"""),0.0)</f>
        <v>0</v>
      </c>
      <c r="P21" s="67">
        <f>IFERROR(__xludf.DUMMYFUNCTION("""COMPUTED_VALUE"""),44230.0)</f>
        <v>44230</v>
      </c>
      <c r="Q21" s="68">
        <f>IFERROR(__xludf.DUMMYFUNCTION("""COMPUTED_VALUE"""),345.0)</f>
        <v>345</v>
      </c>
      <c r="R21" s="69" t="str">
        <f>IFERROR(__xludf.DUMMYFUNCTION("""COMPUTED_VALUE"""),"Cantor")</f>
        <v>Cantor</v>
      </c>
      <c r="S21" s="64">
        <f>IFERROR(__xludf.DUMMYFUNCTION("""COMPUTED_VALUE"""),44960.0)</f>
        <v>44960</v>
      </c>
      <c r="T21" s="70">
        <f>IFERROR(__xludf.DUMMYFUNCTION("""COMPUTED_VALUE"""),0.09041095890410959)</f>
        <v>0.0904109589</v>
      </c>
      <c r="U21" s="71" t="str">
        <f>IFERROR(__xludf.DUMMYFUNCTION("""COMPUTED_VALUE"""),"https://www.sec.gov/cgi-bin/browse-edgar?CIK=1838614")</f>
        <v>https://www.sec.gov/cgi-bin/browse-edgar?CIK=1838614</v>
      </c>
      <c r="V21" s="72" t="str">
        <f>IFERROR(__xludf.DUMMYFUNCTION("""COMPUTED_VALUE""")," Trading Below $10 (Common)        Well-known Sponsor Serial Sponsor  ")</f>
        <v> Trading Below $10 (Common)        Well-known Sponsor Serial Sponsor  </v>
      </c>
      <c r="W21" s="73"/>
      <c r="X21" s="74"/>
      <c r="Y21" s="75"/>
      <c r="Z21" s="60"/>
      <c r="AA21" s="60"/>
      <c r="AB21" s="60"/>
      <c r="AC21" s="60"/>
      <c r="AD21" s="73"/>
      <c r="AE21" s="73"/>
      <c r="AF21" s="76"/>
      <c r="AG21" s="60" t="str">
        <f>IFERROR(__xludf.DUMMYFUNCTION("""COMPUTED_VALUE"""),"")</f>
        <v/>
      </c>
    </row>
    <row r="22">
      <c r="A22" s="54" t="str">
        <f>IFERROR(__xludf.DUMMYFUNCTION("""COMPUTED_VALUE"""),"ACIV")</f>
        <v>ACIV</v>
      </c>
      <c r="B22" s="55" t="str">
        <f>IFERROR(__xludf.DUMMYFUNCTION("""COMPUTED_VALUE"""),"Atlas Crest Investment Corp. IV")</f>
        <v>Atlas Crest Investment Corp. IV</v>
      </c>
      <c r="C22" s="56" t="str">
        <f>IFERROR(__xludf.DUMMYFUNCTION("""COMPUTED_VALUE"""),"Pre IPO")</f>
        <v>Pre IPO</v>
      </c>
      <c r="D22" s="57" t="str">
        <f>IFERROR(__xludf.DUMMYFUNCTION("""COMPUTED_VALUE"""),"Media, Fintech/payments, Software, Tech, Online gaming/sports betting, Healthcare, Consumer")</f>
        <v>Media, Fintech/payments, Software, Tech, Online gaming/sports betting, Healthcare, Consumer</v>
      </c>
      <c r="E22" s="58"/>
      <c r="F22" s="59" t="str">
        <f>IFERROR(__xludf.DUMMYFUNCTION("""COMPUTED_VALUE"""),"Ken Moelis (Chairman &amp; CEO of Moelis &amp; Co)")</f>
        <v>Ken Moelis (Chairman &amp; CEO of Moelis &amp; Co)</v>
      </c>
      <c r="G22" s="60">
        <f>IFERROR(__xludf.DUMMYFUNCTION("""COMPUTED_VALUE"""),4.0E8)</f>
        <v>400000000</v>
      </c>
      <c r="H22" s="60" t="str">
        <f>IFERROR(__xludf.DUMMYFUNCTION("""COMPUTED_VALUE""")," ")</f>
        <v> </v>
      </c>
      <c r="I22" s="61" t="str">
        <f>IFERROR(__xludf.DUMMYFUNCTION("""COMPUTED_VALUE""")," ")</f>
        <v> </v>
      </c>
      <c r="J22" s="62" t="str">
        <f>IFERROR(__xludf.DUMMYFUNCTION("""COMPUTED_VALUE""")," ")</f>
        <v> </v>
      </c>
      <c r="K22" s="59" t="str">
        <f>IFERROR(__xludf.DUMMYFUNCTION("""COMPUTED_VALUE""")," ")</f>
        <v> </v>
      </c>
      <c r="L22" s="63" t="str">
        <f>IFERROR(__xludf.DUMMYFUNCTION("""COMPUTED_VALUE""")," ")</f>
        <v> </v>
      </c>
      <c r="M22" s="64" t="str">
        <f>IFERROR(__xludf.DUMMYFUNCTION("""COMPUTED_VALUE"""),"U: [1/4 W]; W: [1:1, $11.5]")</f>
        <v>U: [1/4 W]; W: [1:1, $11.5]</v>
      </c>
      <c r="N22" s="65" t="str">
        <f>IFERROR(__xludf.DUMMYFUNCTION("""COMPUTED_VALUE"""),"")</f>
        <v/>
      </c>
      <c r="O22" s="66">
        <f>IFERROR(__xludf.DUMMYFUNCTION("""COMPUTED_VALUE"""),0.0)</f>
        <v>0</v>
      </c>
      <c r="P22" s="67"/>
      <c r="Q22" s="68">
        <f>IFERROR(__xludf.DUMMYFUNCTION("""COMPUTED_VALUE"""),400.0)</f>
        <v>400</v>
      </c>
      <c r="R22" s="69" t="str">
        <f>IFERROR(__xludf.DUMMYFUNCTION("""COMPUTED_VALUE"""),"Cantor")</f>
        <v>Cantor</v>
      </c>
      <c r="S22" s="64">
        <f>IFERROR(__xludf.DUMMYFUNCTION("""COMPUTED_VALUE"""),45086.0)</f>
        <v>45086</v>
      </c>
      <c r="T22" s="70" t="str">
        <f>IFERROR(__xludf.DUMMYFUNCTION("""COMPUTED_VALUE"""),"")</f>
        <v/>
      </c>
      <c r="U22" s="71" t="str">
        <f>IFERROR(__xludf.DUMMYFUNCTION("""COMPUTED_VALUE"""),"https://www.sec.gov/cgi-bin/browse-edgar?CIK=1847500")</f>
        <v>https://www.sec.gov/cgi-bin/browse-edgar?CIK=1847500</v>
      </c>
      <c r="V22" s="72" t="str">
        <f>IFERROR(__xludf.DUMMYFUNCTION("""COMPUTED_VALUE"""),"         Well-known Sponsor Serial Sponsor  ")</f>
        <v>         Well-known Sponsor Serial Sponsor  </v>
      </c>
      <c r="W22" s="73"/>
      <c r="X22" s="74"/>
      <c r="Y22" s="75"/>
      <c r="Z22" s="60"/>
      <c r="AA22" s="60"/>
      <c r="AB22" s="60"/>
      <c r="AC22" s="60"/>
      <c r="AD22" s="73"/>
      <c r="AE22" s="73"/>
      <c r="AF22" s="76"/>
      <c r="AG22" s="60"/>
    </row>
    <row r="23">
      <c r="A23" s="54" t="str">
        <f>IFERROR(__xludf.DUMMYFUNCTION("""COMPUTED_VALUE"""),"ACKIT")</f>
        <v>ACKIT</v>
      </c>
      <c r="B23" s="55" t="str">
        <f>IFERROR(__xludf.DUMMYFUNCTION("""COMPUTED_VALUE"""),"Ackrell SPAC Partners I Co")</f>
        <v>Ackrell SPAC Partners I Co</v>
      </c>
      <c r="C23" s="56" t="str">
        <f>IFERROR(__xludf.DUMMYFUNCTION("""COMPUTED_VALUE"""),"Searching")</f>
        <v>Searching</v>
      </c>
      <c r="D23" s="77" t="str">
        <f>IFERROR(__xludf.DUMMYFUNCTION("""COMPUTED_VALUE"""),"Branded Consumer Goods")</f>
        <v>Branded Consumer Goods</v>
      </c>
      <c r="E23" s="58"/>
      <c r="F23" s="59"/>
      <c r="G23" s="60">
        <f>IFERROR(__xludf.DUMMYFUNCTION("""COMPUTED_VALUE"""),1.39383247E8)</f>
        <v>139383247</v>
      </c>
      <c r="H23" s="60">
        <f>IFERROR(__xludf.DUMMYFUNCTION("""COMPUTED_VALUE"""),1.4324661E8)</f>
        <v>143246610</v>
      </c>
      <c r="I23" s="61">
        <f>IFERROR(__xludf.DUMMYFUNCTION("""COMPUTED_VALUE"""),9.99)</f>
        <v>9.99</v>
      </c>
      <c r="J23" s="62">
        <f>IFERROR(__xludf.DUMMYFUNCTION("""COMPUTED_VALUE"""),0.00706)</f>
        <v>0.00706</v>
      </c>
      <c r="K23" s="59" t="str">
        <f>IFERROR(__xludf.DUMMYFUNCTION("""COMPUTED_VALUE""")," ")</f>
        <v> </v>
      </c>
      <c r="L23" s="63" t="str">
        <f>IFERROR(__xludf.DUMMYFUNCTION("""COMPUTED_VALUE""")," ")</f>
        <v> </v>
      </c>
      <c r="M23" s="64" t="str">
        <f>IFERROR(__xludf.DUMMYFUNCTION("""COMPUTED_VALUE"""),"U: [1 SU (1 C, 1/2 W), 1/2 W]; W: [1:1, $11.5]")</f>
        <v>U: [1 SU (1 C, 1/2 W), 1/2 W]; W: [1:1, $11.5]</v>
      </c>
      <c r="N23" s="65" t="str">
        <f>IFERROR(__xludf.DUMMYFUNCTION("""COMPUTED_VALUE"""),"")</f>
        <v/>
      </c>
      <c r="O23" s="66">
        <f>IFERROR(__xludf.DUMMYFUNCTION("""COMPUTED_VALUE"""),0.0)</f>
        <v>0</v>
      </c>
      <c r="P23" s="67">
        <f>IFERROR(__xludf.DUMMYFUNCTION("""COMPUTED_VALUE"""),44186.0)</f>
        <v>44186</v>
      </c>
      <c r="Q23" s="68">
        <f>IFERROR(__xludf.DUMMYFUNCTION("""COMPUTED_VALUE"""),138.0)</f>
        <v>138</v>
      </c>
      <c r="R23" s="69" t="str">
        <f>IFERROR(__xludf.DUMMYFUNCTION("""COMPUTED_VALUE"""),"EarlyBirdCapital, I-Bankers")</f>
        <v>EarlyBirdCapital, I-Bankers</v>
      </c>
      <c r="S23" s="64">
        <f>IFERROR(__xludf.DUMMYFUNCTION("""COMPUTED_VALUE"""),44551.0)</f>
        <v>44551</v>
      </c>
      <c r="T23" s="70">
        <f>IFERROR(__xludf.DUMMYFUNCTION("""COMPUTED_VALUE"""),0.3013698630136986)</f>
        <v>0.301369863</v>
      </c>
      <c r="U23" s="71" t="str">
        <f>IFERROR(__xludf.DUMMYFUNCTION("""COMPUTED_VALUE"""),"https://www.sec.gov/cgi-bin/browse-edgar?CIK=1790121")</f>
        <v>https://www.sec.gov/cgi-bin/browse-edgar?CIK=1790121</v>
      </c>
      <c r="V23" s="72" t="str">
        <f>IFERROR(__xludf.DUMMYFUNCTION("""COMPUTED_VALUE""")," Trading Below $10 (Common)           ")</f>
        <v> Trading Below $10 (Common)           </v>
      </c>
      <c r="W23" s="73"/>
      <c r="X23" s="74"/>
      <c r="Y23" s="75"/>
      <c r="Z23" s="60"/>
      <c r="AA23" s="60"/>
      <c r="AB23" s="60"/>
      <c r="AC23" s="60"/>
      <c r="AD23" s="73"/>
      <c r="AE23" s="73"/>
      <c r="AF23" s="76"/>
      <c r="AG23" s="60" t="str">
        <f>IFERROR(__xludf.DUMMYFUNCTION("""COMPUTED_VALUE"""),"")</f>
        <v/>
      </c>
    </row>
    <row r="24">
      <c r="A24" s="54" t="str">
        <f>IFERROR(__xludf.DUMMYFUNCTION("""COMPUTED_VALUE"""),"ACND")</f>
        <v>ACND</v>
      </c>
      <c r="B24" s="55" t="str">
        <f>IFERROR(__xludf.DUMMYFUNCTION("""COMPUTED_VALUE"""),"Ascendant Digital Acquisition")</f>
        <v>Ascendant Digital Acquisition</v>
      </c>
      <c r="C24" s="56" t="str">
        <f>IFERROR(__xludf.DUMMYFUNCTION("""COMPUTED_VALUE"""),"Definitive Agreement")</f>
        <v>Definitive Agreement</v>
      </c>
      <c r="D24" s="57" t="str">
        <f>IFERROR(__xludf.DUMMYFUNCTION("""COMPUTED_VALUE"""),"Digital Media, Entertainment")</f>
        <v>Digital Media, Entertainment</v>
      </c>
      <c r="E24" s="58" t="str">
        <f>IFERROR(__xludf.DUMMYFUNCTION("""COMPUTED_VALUE"""),"Beacon Street Group [DA: 03/02/21]")</f>
        <v>Beacon Street Group [DA: 03/02/21]</v>
      </c>
      <c r="F24" s="59"/>
      <c r="G24" s="60">
        <f>IFERROR(__xludf.DUMMYFUNCTION("""COMPUTED_VALUE"""),4.14089468E8)</f>
        <v>414089468</v>
      </c>
      <c r="H24" s="60">
        <f>IFERROR(__xludf.DUMMYFUNCTION("""COMPUTED_VALUE"""),4.12758E8)</f>
        <v>412758000</v>
      </c>
      <c r="I24" s="61">
        <f>IFERROR(__xludf.DUMMYFUNCTION("""COMPUTED_VALUE"""),9.97)</f>
        <v>9.97</v>
      </c>
      <c r="J24" s="62">
        <f>IFERROR(__xludf.DUMMYFUNCTION("""COMPUTED_VALUE"""),0.001)</f>
        <v>0.001</v>
      </c>
      <c r="K24" s="59">
        <f>IFERROR(__xludf.DUMMYFUNCTION("""COMPUTED_VALUE"""),10.51)</f>
        <v>10.51</v>
      </c>
      <c r="L24" s="63">
        <f>IFERROR(__xludf.DUMMYFUNCTION("""COMPUTED_VALUE"""),1.23)</f>
        <v>1.23</v>
      </c>
      <c r="M24" s="64" t="str">
        <f>IFERROR(__xludf.DUMMYFUNCTION("""COMPUTED_VALUE"""),"U: [1/2 W]; W: [1:1, $11.5]")</f>
        <v>U: [1/2 W]; W: [1:1, $11.5]</v>
      </c>
      <c r="N24" s="65" t="str">
        <f>IFERROR(__xludf.DUMMYFUNCTION("""COMPUTED_VALUE"""),"")</f>
        <v/>
      </c>
      <c r="O24" s="66">
        <f>IFERROR(__xludf.DUMMYFUNCTION("""COMPUTED_VALUE"""),0.0)</f>
        <v>0</v>
      </c>
      <c r="P24" s="67">
        <f>IFERROR(__xludf.DUMMYFUNCTION("""COMPUTED_VALUE"""),44036.0)</f>
        <v>44036</v>
      </c>
      <c r="Q24" s="68">
        <f>IFERROR(__xludf.DUMMYFUNCTION("""COMPUTED_VALUE"""),414.0)</f>
        <v>414</v>
      </c>
      <c r="R24" s="69" t="str">
        <f>IFERROR(__xludf.DUMMYFUNCTION("""COMPUTED_VALUE"""),"UBS")</f>
        <v>UBS</v>
      </c>
      <c r="S24" s="64">
        <f>IFERROR(__xludf.DUMMYFUNCTION("""COMPUTED_VALUE"""),44766.0)</f>
        <v>44766</v>
      </c>
      <c r="T24" s="70">
        <f>IFERROR(__xludf.DUMMYFUNCTION("""COMPUTED_VALUE"""),0.3561643835616438)</f>
        <v>0.3561643836</v>
      </c>
      <c r="U24" s="71" t="str">
        <f>IFERROR(__xludf.DUMMYFUNCTION("""COMPUTED_VALUE"""),"https://www.sec.gov/cgi-bin/browse-edgar?CIK=1805651")</f>
        <v>https://www.sec.gov/cgi-bin/browse-edgar?CIK=1805651</v>
      </c>
      <c r="V24" s="72" t="str">
        <f>IFERROR(__xludf.DUMMYFUNCTION("""COMPUTED_VALUE""")," Trading Below $10 (Common)           ")</f>
        <v> Trading Below $10 (Common)           </v>
      </c>
      <c r="W24" s="73">
        <f>IFERROR(__xludf.DUMMYFUNCTION("""COMPUTED_VALUE"""),44257.0)</f>
        <v>44257</v>
      </c>
      <c r="X24" s="79">
        <f>IFERROR(__xludf.DUMMYFUNCTION("""COMPUTED_VALUE"""),7.366666666666666)</f>
        <v>7.366666667</v>
      </c>
      <c r="Y24" s="80" t="str">
        <f>IFERROR(__xludf.DUMMYFUNCTION("""COMPUTED_VALUE"""),"https://www.businesswire.com/news/home/20210302005463/en/Beacon-Street-Group-a-Leading-Subscription-Platform-for-Financial-Research-Software-and-Education-to-Become-Publicly-Traded-via-Combination-with-Ascendant-Digital-Acquisition-Corp./?feedref=JjAwJuNH"&amp;"iystnCoBq_hl-aH2gtkQQ1l6W3ZaPesXFm57cpar2z2OJ_5SQGMGwVHJgBtFNItNzWaC-E-WdoEDnkz6i6lCdteeEqxiTxGYcX8eF_GK2rQqAnK3e1SETIZU")</f>
        <v>https://www.businesswire.com/news/home/20210302005463/en/Beacon-Street-Group-a-Leading-Subscription-Platform-for-Financial-Research-Software-and-Education-to-Become-Publicly-Traded-via-Combination-with-Ascendant-Digital-Acquisition-Corp./?feedref=JjAwJuNHiystnCoBq_hl-aH2gtkQQ1l6W3ZaPesXFm57cpar2z2OJ_5SQGMGwVHJgBtFNItNzWaC-E-WdoEDnkz6i6lCdteeEqxiTxGYcX8eF_GK2rQqAnK3e1SETIZU</v>
      </c>
      <c r="Z24" s="81" t="str">
        <f>IFERROR(__xludf.DUMMYFUNCTION("""COMPUTED_VALUE"""),"https://www.sec.gov/Archives/edgar/data/1805651/000119312521064519/d143828dex992.htm")</f>
        <v>https://www.sec.gov/Archives/edgar/data/1805651/000119312521064519/d143828dex992.htm</v>
      </c>
      <c r="AA24" s="60">
        <f>IFERROR(__xludf.DUMMYFUNCTION("""COMPUTED_VALUE"""),1.5E8)</f>
        <v>150000000</v>
      </c>
      <c r="AB24" s="60">
        <f>IFERROR(__xludf.DUMMYFUNCTION("""COMPUTED_VALUE"""),3.185E9)</f>
        <v>3185000000</v>
      </c>
      <c r="AC24" s="60">
        <f>IFERROR(__xludf.DUMMYFUNCTION("""COMPUTED_VALUE"""),3.024E9)</f>
        <v>3024000000</v>
      </c>
      <c r="AD24" s="73"/>
      <c r="AE24" s="73"/>
      <c r="AF24" s="76">
        <f>IFERROR(__xludf.DUMMYFUNCTION("""COMPUTED_VALUE"""),3.185E8)</f>
        <v>318500000</v>
      </c>
      <c r="AG24" s="60">
        <f>IFERROR(__xludf.DUMMYFUNCTION("""COMPUTED_VALUE"""),3.175445E9)</f>
        <v>3175445000</v>
      </c>
    </row>
    <row r="25">
      <c r="A25" s="54" t="str">
        <f>IFERROR(__xludf.DUMMYFUNCTION("""COMPUTED_VALUE"""),"ACQR")</f>
        <v>ACQR</v>
      </c>
      <c r="B25" s="55" t="str">
        <f>IFERROR(__xludf.DUMMYFUNCTION("""COMPUTED_VALUE"""),"Independence Holdings Corp.")</f>
        <v>Independence Holdings Corp.</v>
      </c>
      <c r="C25" s="56" t="str">
        <f>IFERROR(__xludf.DUMMYFUNCTION("""COMPUTED_VALUE"""),"Searching (Pre Unit Split)")</f>
        <v>Searching (Pre Unit Split)</v>
      </c>
      <c r="D25" s="77" t="str">
        <f>IFERROR(__xludf.DUMMYFUNCTION("""COMPUTED_VALUE"""),"Fintech, Software, Tech-enabled services")</f>
        <v>Fintech, Software, Tech-enabled services</v>
      </c>
      <c r="E25" s="58"/>
      <c r="F25" s="59" t="str">
        <f>IFERROR(__xludf.DUMMYFUNCTION("""COMPUTED_VALUE"""),"Steven McLaughlin (Founder/CEO, FT Partners), Jonathan Corr (Fmr CEO, Ellie Mae)")</f>
        <v>Steven McLaughlin (Founder/CEO, FT Partners), Jonathan Corr (Fmr CEO, Ellie Mae)</v>
      </c>
      <c r="G25" s="60">
        <f>IFERROR(__xludf.DUMMYFUNCTION("""COMPUTED_VALUE"""),4.9590908E8)</f>
        <v>495909080</v>
      </c>
      <c r="H25" s="60" t="str">
        <f>IFERROR(__xludf.DUMMYFUNCTION("""COMPUTED_VALUE""")," ")</f>
        <v> </v>
      </c>
      <c r="I25" s="61" t="str">
        <f>IFERROR(__xludf.DUMMYFUNCTION("""COMPUTED_VALUE""")," ")</f>
        <v> </v>
      </c>
      <c r="J25" s="62" t="str">
        <f>IFERROR(__xludf.DUMMYFUNCTION("""COMPUTED_VALUE""")," ")</f>
        <v> </v>
      </c>
      <c r="K25" s="59">
        <f>IFERROR(__xludf.DUMMYFUNCTION("""COMPUTED_VALUE"""),10.06)</f>
        <v>10.06</v>
      </c>
      <c r="L25" s="63" t="str">
        <f>IFERROR(__xludf.DUMMYFUNCTION("""COMPUTED_VALUE""")," ")</f>
        <v> </v>
      </c>
      <c r="M25" s="64" t="str">
        <f>IFERROR(__xludf.DUMMYFUNCTION("""COMPUTED_VALUE"""),"U: [1/5 W]; W: [1:1, $11.5]")</f>
        <v>U: [1/5 W]; W: [1:1, $11.5]</v>
      </c>
      <c r="N25" s="65">
        <f>IFERROR(__xludf.DUMMYFUNCTION("""COMPUTED_VALUE"""),44316.0)</f>
        <v>44316</v>
      </c>
      <c r="O25" s="66" t="str">
        <f>IFERROR(__xludf.DUMMYFUNCTION("""COMPUTED_VALUE"""),"")</f>
        <v/>
      </c>
      <c r="P25" s="67">
        <f>IFERROR(__xludf.DUMMYFUNCTION("""COMPUTED_VALUE"""),44264.0)</f>
        <v>44264</v>
      </c>
      <c r="Q25" s="68">
        <f>IFERROR(__xludf.DUMMYFUNCTION("""COMPUTED_VALUE"""),495.90908)</f>
        <v>495.90908</v>
      </c>
      <c r="R25" s="69" t="str">
        <f>IFERROR(__xludf.DUMMYFUNCTION("""COMPUTED_VALUE"""),"Citigroup, Deutsche Bank Securities")</f>
        <v>Citigroup, Deutsche Bank Securities</v>
      </c>
      <c r="S25" s="64">
        <f>IFERROR(__xludf.DUMMYFUNCTION("""COMPUTED_VALUE"""),44994.0)</f>
        <v>44994</v>
      </c>
      <c r="T25" s="70">
        <f>IFERROR(__xludf.DUMMYFUNCTION("""COMPUTED_VALUE"""),0.043835616438356165)</f>
        <v>0.04383561644</v>
      </c>
      <c r="U25" s="71" t="str">
        <f>IFERROR(__xludf.DUMMYFUNCTION("""COMPUTED_VALUE"""),"https://www.sec.gov/cgi-bin/browse-edgar?CIK=1837393")</f>
        <v>https://www.sec.gov/cgi-bin/browse-edgar?CIK=1837393</v>
      </c>
      <c r="V25" s="72" t="str">
        <f>IFERROR(__xludf.DUMMYFUNCTION("""COMPUTED_VALUE"""),"         Well-known Sponsor  Top Tier UW ")</f>
        <v>         Well-known Sponsor  Top Tier UW </v>
      </c>
      <c r="W25" s="73"/>
      <c r="X25" s="74"/>
      <c r="Y25" s="75"/>
      <c r="Z25" s="60"/>
      <c r="AA25" s="60"/>
      <c r="AB25" s="60"/>
      <c r="AC25" s="60"/>
      <c r="AD25" s="73"/>
      <c r="AE25" s="73"/>
      <c r="AF25" s="76"/>
      <c r="AG25" s="60"/>
    </row>
    <row r="26">
      <c r="A26" s="54" t="str">
        <f>IFERROR(__xludf.DUMMYFUNCTION("""COMPUTED_VALUE"""),"ACRO")</f>
        <v>ACRO</v>
      </c>
      <c r="B26" s="55" t="str">
        <f>IFERROR(__xludf.DUMMYFUNCTION("""COMPUTED_VALUE"""),"Acropolis Infrastructure Acquisition Corp.")</f>
        <v>Acropolis Infrastructure Acquisition Corp.</v>
      </c>
      <c r="C26" s="56" t="str">
        <f>IFERROR(__xludf.DUMMYFUNCTION("""COMPUTED_VALUE"""),"Pre IPO")</f>
        <v>Pre IPO</v>
      </c>
      <c r="D26" s="57" t="str">
        <f>IFERROR(__xludf.DUMMYFUNCTION("""COMPUTED_VALUE"""),"Climate infrastructure and other infrastructure")</f>
        <v>Climate infrastructure and other infrastructure</v>
      </c>
      <c r="E26" s="58"/>
      <c r="F26" s="59" t="str">
        <f>IFERROR(__xludf.DUMMYFUNCTION("""COMPUTED_VALUE"""),"Apollo")</f>
        <v>Apollo</v>
      </c>
      <c r="G26" s="60">
        <f>IFERROR(__xludf.DUMMYFUNCTION("""COMPUTED_VALUE"""),4.0E8)</f>
        <v>400000000</v>
      </c>
      <c r="H26" s="60" t="str">
        <f>IFERROR(__xludf.DUMMYFUNCTION("""COMPUTED_VALUE""")," ")</f>
        <v> </v>
      </c>
      <c r="I26" s="61" t="str">
        <f>IFERROR(__xludf.DUMMYFUNCTION("""COMPUTED_VALUE""")," ")</f>
        <v> </v>
      </c>
      <c r="J26" s="62" t="str">
        <f>IFERROR(__xludf.DUMMYFUNCTION("""COMPUTED_VALUE""")," ")</f>
        <v> </v>
      </c>
      <c r="K26" s="59" t="str">
        <f>IFERROR(__xludf.DUMMYFUNCTION("""COMPUTED_VALUE""")," ")</f>
        <v> </v>
      </c>
      <c r="L26" s="63" t="str">
        <f>IFERROR(__xludf.DUMMYFUNCTION("""COMPUTED_VALUE""")," ")</f>
        <v> </v>
      </c>
      <c r="M26" s="64" t="str">
        <f>IFERROR(__xludf.DUMMYFUNCTION("""COMPUTED_VALUE"""),"U: [1/5 W]; W: [1:1, $11.5]")</f>
        <v>U: [1/5 W]; W: [1:1, $11.5]</v>
      </c>
      <c r="N26" s="65" t="str">
        <f>IFERROR(__xludf.DUMMYFUNCTION("""COMPUTED_VALUE"""),"")</f>
        <v/>
      </c>
      <c r="O26" s="66">
        <f>IFERROR(__xludf.DUMMYFUNCTION("""COMPUTED_VALUE"""),0.0)</f>
        <v>0</v>
      </c>
      <c r="P26" s="67"/>
      <c r="Q26" s="68">
        <f>IFERROR(__xludf.DUMMYFUNCTION("""COMPUTED_VALUE"""),400.0)</f>
        <v>400</v>
      </c>
      <c r="R26" s="69" t="str">
        <f>IFERROR(__xludf.DUMMYFUNCTION("""COMPUTED_VALUE"""),"Credit Suisse, Apollo Global Securities, Citigroup, Barclays, Evercore ISI, Siebert Williams Shank")</f>
        <v>Credit Suisse, Apollo Global Securities, Citigroup, Barclays, Evercore ISI, Siebert Williams Shank</v>
      </c>
      <c r="S26" s="64">
        <f>IFERROR(__xludf.DUMMYFUNCTION("""COMPUTED_VALUE"""),45086.0)</f>
        <v>45086</v>
      </c>
      <c r="T26" s="70" t="str">
        <f>IFERROR(__xludf.DUMMYFUNCTION("""COMPUTED_VALUE"""),"")</f>
        <v/>
      </c>
      <c r="U26" s="71" t="str">
        <f>IFERROR(__xludf.DUMMYFUNCTION("""COMPUTED_VALUE"""),"https://www.sec.gov/cgi-bin/browse-edgar?CIK=1847891")</f>
        <v>https://www.sec.gov/cgi-bin/browse-edgar?CIK=1847891</v>
      </c>
      <c r="V26" s="72" t="str">
        <f>IFERROR(__xludf.DUMMYFUNCTION("""COMPUTED_VALUE"""),"Sustainability         Well-known Sponsor Serial Sponsor Top Tier UW ")</f>
        <v>Sustainability         Well-known Sponsor Serial Sponsor Top Tier UW </v>
      </c>
      <c r="W26" s="73"/>
      <c r="X26" s="74"/>
      <c r="Y26" s="75"/>
      <c r="Z26" s="60"/>
      <c r="AA26" s="60"/>
      <c r="AB26" s="60"/>
      <c r="AC26" s="60"/>
      <c r="AD26" s="73"/>
      <c r="AE26" s="73"/>
      <c r="AF26" s="76"/>
      <c r="AG26" s="60"/>
    </row>
    <row r="27">
      <c r="A27" s="54" t="str">
        <f>IFERROR(__xludf.DUMMYFUNCTION("""COMPUTED_VALUE"""),"ACTC")</f>
        <v>ACTC</v>
      </c>
      <c r="B27" s="55" t="str">
        <f>IFERROR(__xludf.DUMMYFUNCTION("""COMPUTED_VALUE"""),"ArcLight Clean Transition Corp")</f>
        <v>ArcLight Clean Transition Corp</v>
      </c>
      <c r="C27" s="56" t="str">
        <f>IFERROR(__xludf.DUMMYFUNCTION("""COMPUTED_VALUE"""),"Definitive Agreement")</f>
        <v>Definitive Agreement</v>
      </c>
      <c r="D27" s="57" t="str">
        <f>IFERROR(__xludf.DUMMYFUNCTION("""COMPUTED_VALUE"""),"Sustainable Energy, Renewable Resources")</f>
        <v>Sustainable Energy, Renewable Resources</v>
      </c>
      <c r="E27" s="58" t="str">
        <f>IFERROR(__xludf.DUMMYFUNCTION("""COMPUTED_VALUE"""),"Proterra [DA: 01/12/21]")</f>
        <v>Proterra [DA: 01/12/21]</v>
      </c>
      <c r="F27" s="59" t="str">
        <f>IFERROR(__xludf.DUMMYFUNCTION("""COMPUTED_VALUE"""),"Daniel Revers (Founder, ArcLight Capital Partners), Dr. Ja-Chin Audrey Lee (Former VP, Energy Services, Sunrun; Co-Chair, Clean Energy for Biden), Arno Harris (Former Founder/CEO, Recurrent Energy; Director, Pacific Gas &amp; Electric)")</f>
        <v>Daniel Revers (Founder, ArcLight Capital Partners), Dr. Ja-Chin Audrey Lee (Former VP, Energy Services, Sunrun; Co-Chair, Clean Energy for Biden), Arno Harris (Former Founder/CEO, Recurrent Energy; Director, Pacific Gas &amp; Electric)</v>
      </c>
      <c r="G27" s="60">
        <f>IFERROR(__xludf.DUMMYFUNCTION("""COMPUTED_VALUE"""),2.5E8)</f>
        <v>250000000</v>
      </c>
      <c r="H27" s="60">
        <f>IFERROR(__xludf.DUMMYFUNCTION("""COMPUTED_VALUE"""),4.725825E8)</f>
        <v>472582500</v>
      </c>
      <c r="I27" s="61">
        <f>IFERROR(__xludf.DUMMYFUNCTION("""COMPUTED_VALUE"""),17.03)</f>
        <v>17.03</v>
      </c>
      <c r="J27" s="62">
        <f>IFERROR(__xludf.DUMMYFUNCTION("""COMPUTED_VALUE"""),-0.02183)</f>
        <v>-0.02183</v>
      </c>
      <c r="K27" s="59">
        <f>IFERROR(__xludf.DUMMYFUNCTION("""COMPUTED_VALUE"""),20.94)</f>
        <v>20.94</v>
      </c>
      <c r="L27" s="63">
        <f>IFERROR(__xludf.DUMMYFUNCTION("""COMPUTED_VALUE"""),5.95)</f>
        <v>5.95</v>
      </c>
      <c r="M27" s="64" t="str">
        <f>IFERROR(__xludf.DUMMYFUNCTION("""COMPUTED_VALUE"""),"U: [1/2 W]; W: [1:1, $11.5]")</f>
        <v>U: [1/2 W]; W: [1:1, $11.5]</v>
      </c>
      <c r="N27" s="65" t="str">
        <f>IFERROR(__xludf.DUMMYFUNCTION("""COMPUTED_VALUE"""),"")</f>
        <v/>
      </c>
      <c r="O27" s="66">
        <f>IFERROR(__xludf.DUMMYFUNCTION("""COMPUTED_VALUE"""),5.530000000000001)</f>
        <v>5.53</v>
      </c>
      <c r="P27" s="67">
        <f>IFERROR(__xludf.DUMMYFUNCTION("""COMPUTED_VALUE"""),44096.0)</f>
        <v>44096</v>
      </c>
      <c r="Q27" s="68">
        <f>IFERROR(__xludf.DUMMYFUNCTION("""COMPUTED_VALUE"""),250.0)</f>
        <v>250</v>
      </c>
      <c r="R27" s="69" t="str">
        <f>IFERROR(__xludf.DUMMYFUNCTION("""COMPUTED_VALUE"""),"Citigroup, Barclays")</f>
        <v>Citigroup, Barclays</v>
      </c>
      <c r="S27" s="64">
        <f>IFERROR(__xludf.DUMMYFUNCTION("""COMPUTED_VALUE"""),44826.0)</f>
        <v>44826</v>
      </c>
      <c r="T27" s="70">
        <f>IFERROR(__xludf.DUMMYFUNCTION("""COMPUTED_VALUE"""),0.273972602739726)</f>
        <v>0.2739726027</v>
      </c>
      <c r="U27" s="71" t="str">
        <f>IFERROR(__xludf.DUMMYFUNCTION("""COMPUTED_VALUE"""),"https://www.sec.gov/cgi-bin/browse-edgar?CIK=1820630")</f>
        <v>https://www.sec.gov/cgi-bin/browse-edgar?CIK=1820630</v>
      </c>
      <c r="V27" s="72" t="str">
        <f>IFERROR(__xludf.DUMMYFUNCTION("""COMPUTED_VALUE"""),"Sustainability, E.V.     Optionable      Top Tier UW ")</f>
        <v>Sustainability, E.V.     Optionable      Top Tier UW </v>
      </c>
      <c r="W27" s="73">
        <f>IFERROR(__xludf.DUMMYFUNCTION("""COMPUTED_VALUE"""),44208.0)</f>
        <v>44208</v>
      </c>
      <c r="X27" s="79">
        <f>IFERROR(__xludf.DUMMYFUNCTION("""COMPUTED_VALUE"""),3.7333333333333334)</f>
        <v>3.733333333</v>
      </c>
      <c r="Y27" s="80" t="str">
        <f>IFERROR(__xludf.DUMMYFUNCTION("""COMPUTED_VALUE"""),"https://www.prnewswire.com/news-releases/proterra-commercial-electric-vehicle-technology-leader-to-become-publicly-listed-through-transaction-with-arclight-clean-transition-corp-301206295.html")</f>
        <v>https://www.prnewswire.com/news-releases/proterra-commercial-electric-vehicle-technology-leader-to-become-publicly-listed-through-transaction-with-arclight-clean-transition-corp-301206295.html</v>
      </c>
      <c r="Z27" s="81" t="str">
        <f>IFERROR(__xludf.DUMMYFUNCTION("""COMPUTED_VALUE"""),"https://arclightclean.com/wp-content/uploads/2021/01/ACTC-Proterra-Investor-Presentation.pdf")</f>
        <v>https://arclightclean.com/wp-content/uploads/2021/01/ACTC-Proterra-Investor-Presentation.pdf</v>
      </c>
      <c r="AA27" s="60">
        <f>IFERROR(__xludf.DUMMYFUNCTION("""COMPUTED_VALUE"""),4.15E8)</f>
        <v>415000000</v>
      </c>
      <c r="AB27" s="60">
        <f>IFERROR(__xludf.DUMMYFUNCTION("""COMPUTED_VALUE"""),2.401E9)</f>
        <v>2401000000</v>
      </c>
      <c r="AC27" s="60">
        <f>IFERROR(__xludf.DUMMYFUNCTION("""COMPUTED_VALUE"""),1.6E9)</f>
        <v>1600000000</v>
      </c>
      <c r="AD27" s="73"/>
      <c r="AE27" s="73"/>
      <c r="AF27" s="76">
        <f>IFERROR(__xludf.DUMMYFUNCTION("""COMPUTED_VALUE"""),2.401E8)</f>
        <v>240100000</v>
      </c>
      <c r="AG27" s="60">
        <f>IFERROR(__xludf.DUMMYFUNCTION("""COMPUTED_VALUE"""),4.0889030000000005E9)</f>
        <v>4088903000</v>
      </c>
    </row>
    <row r="28">
      <c r="A28" s="54" t="str">
        <f>IFERROR(__xludf.DUMMYFUNCTION("""COMPUTED_VALUE"""),"ACTD")</f>
        <v>ACTD</v>
      </c>
      <c r="B28" s="55" t="str">
        <f>IFERROR(__xludf.DUMMYFUNCTION("""COMPUTED_VALUE"""),"ArcLight Clean Transition Corp. II")</f>
        <v>ArcLight Clean Transition Corp. II</v>
      </c>
      <c r="C28" s="56" t="str">
        <f>IFERROR(__xludf.DUMMYFUNCTION("""COMPUTED_VALUE"""),"Searching (Pre Unit Split)")</f>
        <v>Searching (Pre Unit Split)</v>
      </c>
      <c r="D28" s="77" t="str">
        <f>IFERROR(__xludf.DUMMYFUNCTION("""COMPUTED_VALUE"""),"Renewable Energy, Energy Transition, Sustainability")</f>
        <v>Renewable Energy, Energy Transition, Sustainability</v>
      </c>
      <c r="E28" s="58"/>
      <c r="F28" s="59" t="str">
        <f>IFERROR(__xludf.DUMMYFUNCTION("""COMPUTED_VALUE"""),"Daniel Revers (Founder, ArcLight Capital Partners), Dr. Ja-Chin Audrey Lee (Former VP, Energy Services, Sunrun; Co-Chair, Clean Energy for Biden), Arno Harris (Former Founder/CEO, Recurrent Energy; Director, Pacific Gas &amp; Electric)")</f>
        <v>Daniel Revers (Founder, ArcLight Capital Partners), Dr. Ja-Chin Audrey Lee (Former VP, Energy Services, Sunrun; Co-Chair, Clean Energy for Biden), Arno Harris (Former Founder/CEO, Recurrent Energy; Director, Pacific Gas &amp; Electric)</v>
      </c>
      <c r="G28" s="60">
        <f>IFERROR(__xludf.DUMMYFUNCTION("""COMPUTED_VALUE"""),3.1116305E8)</f>
        <v>311163050</v>
      </c>
      <c r="H28" s="60" t="str">
        <f>IFERROR(__xludf.DUMMYFUNCTION("""COMPUTED_VALUE""")," ")</f>
        <v> </v>
      </c>
      <c r="I28" s="61" t="str">
        <f>IFERROR(__xludf.DUMMYFUNCTION("""COMPUTED_VALUE""")," ")</f>
        <v> </v>
      </c>
      <c r="J28" s="62" t="str">
        <f>IFERROR(__xludf.DUMMYFUNCTION("""COMPUTED_VALUE""")," ")</f>
        <v> </v>
      </c>
      <c r="K28" s="59">
        <f>IFERROR(__xludf.DUMMYFUNCTION("""COMPUTED_VALUE"""),10.29)</f>
        <v>10.29</v>
      </c>
      <c r="L28" s="63" t="str">
        <f>IFERROR(__xludf.DUMMYFUNCTION("""COMPUTED_VALUE""")," ")</f>
        <v> </v>
      </c>
      <c r="M28" s="64" t="str">
        <f>IFERROR(__xludf.DUMMYFUNCTION("""COMPUTED_VALUE"""),"U: [1/5 W]; W: [1:1, $11.5]")</f>
        <v>U: [1/5 W]; W: [1:1, $11.5]</v>
      </c>
      <c r="N28" s="65">
        <f>IFERROR(__xludf.DUMMYFUNCTION("""COMPUTED_VALUE"""),44330.0)</f>
        <v>44330</v>
      </c>
      <c r="O28" s="66" t="str">
        <f>IFERROR(__xludf.DUMMYFUNCTION("""COMPUTED_VALUE"""),"")</f>
        <v/>
      </c>
      <c r="P28" s="67">
        <f>IFERROR(__xludf.DUMMYFUNCTION("""COMPUTED_VALUE"""),44278.0)</f>
        <v>44278</v>
      </c>
      <c r="Q28" s="68">
        <f>IFERROR(__xludf.DUMMYFUNCTION("""COMPUTED_VALUE"""),311.16305)</f>
        <v>311.16305</v>
      </c>
      <c r="R28" s="69" t="str">
        <f>IFERROR(__xludf.DUMMYFUNCTION("""COMPUTED_VALUE"""),"Citigroup, Barclays")</f>
        <v>Citigroup, Barclays</v>
      </c>
      <c r="S28" s="64">
        <f>IFERROR(__xludf.DUMMYFUNCTION("""COMPUTED_VALUE"""),45008.0)</f>
        <v>45008</v>
      </c>
      <c r="T28" s="70">
        <f>IFERROR(__xludf.DUMMYFUNCTION("""COMPUTED_VALUE"""),0.024657534246575342)</f>
        <v>0.02465753425</v>
      </c>
      <c r="U28" s="71" t="str">
        <f>IFERROR(__xludf.DUMMYFUNCTION("""COMPUTED_VALUE"""),"https://www.sec.gov/cgi-bin/browse-edgar?CIK=1842279")</f>
        <v>https://www.sec.gov/cgi-bin/browse-edgar?CIK=1842279</v>
      </c>
      <c r="V28" s="72" t="str">
        <f>IFERROR(__xludf.DUMMYFUNCTION("""COMPUTED_VALUE"""),"           Top Tier UW ")</f>
        <v>           Top Tier UW </v>
      </c>
      <c r="W28" s="73"/>
      <c r="X28" s="74"/>
      <c r="Y28" s="75"/>
      <c r="Z28" s="60"/>
      <c r="AA28" s="60"/>
      <c r="AB28" s="60"/>
      <c r="AC28" s="60"/>
      <c r="AD28" s="73"/>
      <c r="AE28" s="73"/>
      <c r="AF28" s="76"/>
      <c r="AG28" s="60" t="str">
        <f>IFERROR(__xludf.DUMMYFUNCTION("""COMPUTED_VALUE"""),"")</f>
        <v/>
      </c>
    </row>
    <row r="29">
      <c r="A29" s="54" t="str">
        <f>IFERROR(__xludf.DUMMYFUNCTION("""COMPUTED_VALUE"""),"ADER")</f>
        <v>ADER</v>
      </c>
      <c r="B29" s="55" t="str">
        <f>IFERROR(__xludf.DUMMYFUNCTION("""COMPUTED_VALUE"""),"26 Capital Acquisition Corp.")</f>
        <v>26 Capital Acquisition Corp.</v>
      </c>
      <c r="C29" s="56" t="str">
        <f>IFERROR(__xludf.DUMMYFUNCTION("""COMPUTED_VALUE"""),"Searching")</f>
        <v>Searching</v>
      </c>
      <c r="D29" s="57" t="str">
        <f>IFERROR(__xludf.DUMMYFUNCTION("""COMPUTED_VALUE"""),"Gaming, Gaming Tech, Branded Consumer, Lodging &amp; Entertainment, Internet commerce")</f>
        <v>Gaming, Gaming Tech, Branded Consumer, Lodging &amp; Entertainment, Internet commerce</v>
      </c>
      <c r="E29" s="58"/>
      <c r="F29" s="59" t="str">
        <f>IFERROR(__xludf.DUMMYFUNCTION("""COMPUTED_VALUE"""),"Jason Ader (Co-founder/CEO, SpringOwl Asset Management)")</f>
        <v>Jason Ader (Co-founder/CEO, SpringOwl Asset Management)</v>
      </c>
      <c r="G29" s="60">
        <f>IFERROR(__xludf.DUMMYFUNCTION("""COMPUTED_VALUE"""),2.75E8)</f>
        <v>275000000</v>
      </c>
      <c r="H29" s="60">
        <f>IFERROR(__xludf.DUMMYFUNCTION("""COMPUTED_VALUE"""),2.707375E8)</f>
        <v>270737500</v>
      </c>
      <c r="I29" s="61">
        <f>IFERROR(__xludf.DUMMYFUNCTION("""COMPUTED_VALUE"""),9.845)</f>
        <v>9.845</v>
      </c>
      <c r="J29" s="62">
        <f>IFERROR(__xludf.DUMMYFUNCTION("""COMPUTED_VALUE"""),-5.1E-4)</f>
        <v>-0.00051</v>
      </c>
      <c r="K29" s="59">
        <f>IFERROR(__xludf.DUMMYFUNCTION("""COMPUTED_VALUE"""),10.35)</f>
        <v>10.35</v>
      </c>
      <c r="L29" s="63">
        <f>IFERROR(__xludf.DUMMYFUNCTION("""COMPUTED_VALUE"""),0.9687)</f>
        <v>0.9687</v>
      </c>
      <c r="M29" s="64" t="str">
        <f>IFERROR(__xludf.DUMMYFUNCTION("""COMPUTED_VALUE"""),"U: [1/2 W]; W: [1:1, $11.5]")</f>
        <v>U: [1/2 W]; W: [1:1, $11.5]</v>
      </c>
      <c r="N29" s="65">
        <f>IFERROR(__xludf.DUMMYFUNCTION("""COMPUTED_VALUE"""),44263.0)</f>
        <v>44263</v>
      </c>
      <c r="O29" s="66">
        <f>IFERROR(__xludf.DUMMYFUNCTION("""COMPUTED_VALUE"""),0.0)</f>
        <v>0</v>
      </c>
      <c r="P29" s="67">
        <f>IFERROR(__xludf.DUMMYFUNCTION("""COMPUTED_VALUE"""),44210.0)</f>
        <v>44210</v>
      </c>
      <c r="Q29" s="68">
        <f>IFERROR(__xludf.DUMMYFUNCTION("""COMPUTED_VALUE"""),275.0)</f>
        <v>275</v>
      </c>
      <c r="R29" s="82" t="str">
        <f>IFERROR(__xludf.DUMMYFUNCTION("""COMPUTED_VALUE"""),"Cantor")</f>
        <v>Cantor</v>
      </c>
      <c r="S29" s="64">
        <f>IFERROR(__xludf.DUMMYFUNCTION("""COMPUTED_VALUE"""),44940.0)</f>
        <v>44940</v>
      </c>
      <c r="T29" s="70">
        <f>IFERROR(__xludf.DUMMYFUNCTION("""COMPUTED_VALUE"""),0.1178082191780822)</f>
        <v>0.1178082192</v>
      </c>
      <c r="U29" s="71" t="str">
        <f>IFERROR(__xludf.DUMMYFUNCTION("""COMPUTED_VALUE"""),"https://www.sec.gov/cgi-bin/browse-edgar?CIK=1822912")</f>
        <v>https://www.sec.gov/cgi-bin/browse-edgar?CIK=1822912</v>
      </c>
      <c r="V29" s="72" t="str">
        <f>IFERROR(__xludf.DUMMYFUNCTION("""COMPUTED_VALUE""")," Trading Below $10 (Common)           ")</f>
        <v> Trading Below $10 (Common)           </v>
      </c>
      <c r="W29" s="73"/>
      <c r="X29" s="74"/>
      <c r="Y29" s="75"/>
      <c r="Z29" s="60"/>
      <c r="AA29" s="60"/>
      <c r="AB29" s="60"/>
      <c r="AC29" s="60"/>
      <c r="AD29" s="73"/>
      <c r="AE29" s="73"/>
      <c r="AF29" s="76"/>
      <c r="AG29" s="60" t="str">
        <f>IFERROR(__xludf.DUMMYFUNCTION("""COMPUTED_VALUE"""),"")</f>
        <v/>
      </c>
    </row>
    <row r="30">
      <c r="A30" s="54" t="str">
        <f>IFERROR(__xludf.DUMMYFUNCTION("""COMPUTED_VALUE"""),"ADEX")</f>
        <v>ADEX</v>
      </c>
      <c r="B30" s="55" t="str">
        <f>IFERROR(__xludf.DUMMYFUNCTION("""COMPUTED_VALUE"""),"Adit EdTech Acquisition Corp.")</f>
        <v>Adit EdTech Acquisition Corp.</v>
      </c>
      <c r="C30" s="56" t="str">
        <f>IFERROR(__xludf.DUMMYFUNCTION("""COMPUTED_VALUE"""),"Searching")</f>
        <v>Searching</v>
      </c>
      <c r="D30" s="57" t="str">
        <f>IFERROR(__xludf.DUMMYFUNCTION("""COMPUTED_VALUE"""),"Education, Training, EdTech")</f>
        <v>Education, Training, EdTech</v>
      </c>
      <c r="E30" s="58"/>
      <c r="F30" s="59" t="str">
        <f>IFERROR(__xludf.DUMMYFUNCTION("""COMPUTED_VALUE"""),"David Shrier (Co-founder, Esme Learning Solutions), Bill Bennett (Frm US Secretary of Education; Founding Chairman, K12.com)")</f>
        <v>David Shrier (Co-founder, Esme Learning Solutions), Bill Bennett (Frm US Secretary of Education; Founding Chairman, K12.com)</v>
      </c>
      <c r="G30" s="60">
        <f>IFERROR(__xludf.DUMMYFUNCTION("""COMPUTED_VALUE"""),2.76E8)</f>
        <v>276000000</v>
      </c>
      <c r="H30" s="60"/>
      <c r="I30" s="61">
        <f>IFERROR(__xludf.DUMMYFUNCTION("""COMPUTED_VALUE"""),9.72)</f>
        <v>9.72</v>
      </c>
      <c r="J30" s="62">
        <f>IFERROR(__xludf.DUMMYFUNCTION("""COMPUTED_VALUE"""),0.00206)</f>
        <v>0.00206</v>
      </c>
      <c r="K30" s="59">
        <f>IFERROR(__xludf.DUMMYFUNCTION("""COMPUTED_VALUE"""),9.99)</f>
        <v>9.99</v>
      </c>
      <c r="L30" s="63">
        <f>IFERROR(__xludf.DUMMYFUNCTION("""COMPUTED_VALUE"""),0.56)</f>
        <v>0.56</v>
      </c>
      <c r="M30" s="64" t="str">
        <f>IFERROR(__xludf.DUMMYFUNCTION("""COMPUTED_VALUE"""),"U: [1/2 W]; W: [1:1, $11.5]")</f>
        <v>U: [1/2 W]; W: [1:1, $11.5]</v>
      </c>
      <c r="N30" s="65">
        <f>IFERROR(__xludf.DUMMYFUNCTION("""COMPUTED_VALUE"""),44258.0)</f>
        <v>44258</v>
      </c>
      <c r="O30" s="66">
        <f>IFERROR(__xludf.DUMMYFUNCTION("""COMPUTED_VALUE"""),0.0)</f>
        <v>0</v>
      </c>
      <c r="P30" s="67">
        <f>IFERROR(__xludf.DUMMYFUNCTION("""COMPUTED_VALUE"""),44207.0)</f>
        <v>44207</v>
      </c>
      <c r="Q30" s="68">
        <f>IFERROR(__xludf.DUMMYFUNCTION("""COMPUTED_VALUE"""),276.0)</f>
        <v>276</v>
      </c>
      <c r="R30" s="69" t="str">
        <f>IFERROR(__xludf.DUMMYFUNCTION("""COMPUTED_VALUE"""),"EarlyBirdCapital")</f>
        <v>EarlyBirdCapital</v>
      </c>
      <c r="S30" s="64">
        <f>IFERROR(__xludf.DUMMYFUNCTION("""COMPUTED_VALUE"""),44937.0)</f>
        <v>44937</v>
      </c>
      <c r="T30" s="70">
        <f>IFERROR(__xludf.DUMMYFUNCTION("""COMPUTED_VALUE"""),0.12191780821917808)</f>
        <v>0.1219178082</v>
      </c>
      <c r="U30" s="71" t="str">
        <f>IFERROR(__xludf.DUMMYFUNCTION("""COMPUTED_VALUE"""),"https://www.sec.gov/cgi-bin/browse-edgar?CIK=1830029")</f>
        <v>https://www.sec.gov/cgi-bin/browse-edgar?CIK=1830029</v>
      </c>
      <c r="V30" s="72" t="str">
        <f>IFERROR(__xludf.DUMMYFUNCTION("""COMPUTED_VALUE""")," Trading Below $10 (Common)           ")</f>
        <v> Trading Below $10 (Common)           </v>
      </c>
      <c r="W30" s="73"/>
      <c r="X30" s="74"/>
      <c r="Y30" s="75"/>
      <c r="Z30" s="60"/>
      <c r="AA30" s="60"/>
      <c r="AB30" s="60"/>
      <c r="AC30" s="60"/>
      <c r="AD30" s="73"/>
      <c r="AE30" s="73"/>
      <c r="AF30" s="76"/>
      <c r="AG30" s="60" t="str">
        <f>IFERROR(__xludf.DUMMYFUNCTION("""COMPUTED_VALUE"""),"")</f>
        <v/>
      </c>
    </row>
    <row r="31">
      <c r="A31" s="54" t="str">
        <f>IFERROR(__xludf.DUMMYFUNCTION("""COMPUTED_VALUE"""),"ADF")</f>
        <v>ADF</v>
      </c>
      <c r="B31" s="55" t="str">
        <f>IFERROR(__xludf.DUMMYFUNCTION("""COMPUTED_VALUE"""),"Aldel Financial Inc.")</f>
        <v>Aldel Financial Inc.</v>
      </c>
      <c r="C31" s="56" t="str">
        <f>IFERROR(__xludf.DUMMYFUNCTION("""COMPUTED_VALUE"""),"Searching (Pre Unit Split)")</f>
        <v>Searching (Pre Unit Split)</v>
      </c>
      <c r="D31" s="57" t="str">
        <f>IFERROR(__xludf.DUMMYFUNCTION("""COMPUTED_VALUE"""),"Restructuring, Transient Current Ownership")</f>
        <v>Restructuring, Transient Current Ownership</v>
      </c>
      <c r="E31" s="58"/>
      <c r="F31" s="59" t="str">
        <f>IFERROR(__xludf.DUMMYFUNCTION("""COMPUTED_VALUE"""),"Robert Kauffman (Co-founder,Fortress Investment Group), Charlie Nearburg (Race car driver; Founder, Nearburg Producing Company), Kyle Cerminara (Co-founder, Fundamental Global; President, FGNA)")</f>
        <v>Robert Kauffman (Co-founder,Fortress Investment Group), Charlie Nearburg (Race car driver; Founder, Nearburg Producing Company), Kyle Cerminara (Co-founder, Fundamental Global; President, FGNA)</v>
      </c>
      <c r="G31" s="60">
        <f>IFERROR(__xludf.DUMMYFUNCTION("""COMPUTED_VALUE"""),1.0E8)</f>
        <v>100000000</v>
      </c>
      <c r="H31" s="60" t="str">
        <f>IFERROR(__xludf.DUMMYFUNCTION("""COMPUTED_VALUE""")," ")</f>
        <v> </v>
      </c>
      <c r="I31" s="61" t="str">
        <f>IFERROR(__xludf.DUMMYFUNCTION("""COMPUTED_VALUE""")," ")</f>
        <v> </v>
      </c>
      <c r="J31" s="62" t="str">
        <f>IFERROR(__xludf.DUMMYFUNCTION("""COMPUTED_VALUE""")," ")</f>
        <v> </v>
      </c>
      <c r="K31" s="59">
        <f>IFERROR(__xludf.DUMMYFUNCTION("""COMPUTED_VALUE"""),9.99)</f>
        <v>9.99</v>
      </c>
      <c r="L31" s="63" t="str">
        <f>IFERROR(__xludf.DUMMYFUNCTION("""COMPUTED_VALUE""")," ")</f>
        <v> </v>
      </c>
      <c r="M31" s="64" t="str">
        <f>IFERROR(__xludf.DUMMYFUNCTION("""COMPUTED_VALUE"""),"U: [1/2 W]; W: [1:1, $11.5]")</f>
        <v>U: [1/2 W]; W: [1:1, $11.5]</v>
      </c>
      <c r="N31" s="65">
        <f>IFERROR(__xludf.DUMMYFUNCTION("""COMPUTED_VALUE"""),44346.0)</f>
        <v>44346</v>
      </c>
      <c r="O31" s="66" t="str">
        <f>IFERROR(__xludf.DUMMYFUNCTION("""COMPUTED_VALUE"""),"")</f>
        <v/>
      </c>
      <c r="P31" s="67">
        <f>IFERROR(__xludf.DUMMYFUNCTION("""COMPUTED_VALUE"""),44294.0)</f>
        <v>44294</v>
      </c>
      <c r="Q31" s="68">
        <f>IFERROR(__xludf.DUMMYFUNCTION("""COMPUTED_VALUE"""),100.0)</f>
        <v>100</v>
      </c>
      <c r="R31" s="69" t="str">
        <f>IFERROR(__xludf.DUMMYFUNCTION("""COMPUTED_VALUE"""),"UBS Investment Bank")</f>
        <v>UBS Investment Bank</v>
      </c>
      <c r="S31" s="64">
        <f>IFERROR(__xludf.DUMMYFUNCTION("""COMPUTED_VALUE"""),45024.0)</f>
        <v>45024</v>
      </c>
      <c r="T31" s="70">
        <f>IFERROR(__xludf.DUMMYFUNCTION("""COMPUTED_VALUE"""),0.0027397260273972603)</f>
        <v>0.002739726027</v>
      </c>
      <c r="U31" s="71" t="str">
        <f>IFERROR(__xludf.DUMMYFUNCTION("""COMPUTED_VALUE"""),"https://www.sec.gov/cgi-bin/browse-edgar?CIK=1840776")</f>
        <v>https://www.sec.gov/cgi-bin/browse-edgar?CIK=1840776</v>
      </c>
      <c r="V31" s="72" t="str">
        <f>IFERROR(__xludf.DUMMYFUNCTION("""COMPUTED_VALUE"""),"  Recent IPO       Well-known Sponsor   ")</f>
        <v>  Recent IPO       Well-known Sponsor   </v>
      </c>
      <c r="W31" s="73"/>
      <c r="X31" s="74"/>
      <c r="Y31" s="75"/>
      <c r="Z31" s="60"/>
      <c r="AA31" s="60"/>
      <c r="AB31" s="60"/>
      <c r="AC31" s="60"/>
      <c r="AD31" s="73"/>
      <c r="AE31" s="73"/>
      <c r="AF31" s="76"/>
      <c r="AG31" s="60"/>
    </row>
    <row r="32">
      <c r="A32" s="54" t="str">
        <f>IFERROR(__xludf.DUMMYFUNCTION("""COMPUTED_VALUE"""),"ADOC")</f>
        <v>ADOC</v>
      </c>
      <c r="B32" s="55" t="str">
        <f>IFERROR(__xludf.DUMMYFUNCTION("""COMPUTED_VALUE"""),"Edoc Acquisition Corp.")</f>
        <v>Edoc Acquisition Corp.</v>
      </c>
      <c r="C32" s="56" t="str">
        <f>IFERROR(__xludf.DUMMYFUNCTION("""COMPUTED_VALUE"""),"Searching")</f>
        <v>Searching</v>
      </c>
      <c r="D32" s="77" t="str">
        <f>IFERROR(__xludf.DUMMYFUNCTION("""COMPUTED_VALUE"""),"Healthcare, North America &amp; Asia-Pacific")</f>
        <v>Healthcare, North America &amp; Asia-Pacific</v>
      </c>
      <c r="E32" s="58"/>
      <c r="F32" s="59"/>
      <c r="G32" s="60">
        <f>IFERROR(__xludf.DUMMYFUNCTION("""COMPUTED_VALUE"""),9.153E7)</f>
        <v>91530000</v>
      </c>
      <c r="H32" s="60">
        <f>IFERROR(__xludf.DUMMYFUNCTION("""COMPUTED_VALUE"""),9.108E7)</f>
        <v>91080000</v>
      </c>
      <c r="I32" s="61">
        <f>IFERROR(__xludf.DUMMYFUNCTION("""COMPUTED_VALUE"""),10.12)</f>
        <v>10.12</v>
      </c>
      <c r="J32" s="62">
        <f>IFERROR(__xludf.DUMMYFUNCTION("""COMPUTED_VALUE"""),0.00998)</f>
        <v>0.00998</v>
      </c>
      <c r="K32" s="59" t="str">
        <f>IFERROR(__xludf.DUMMYFUNCTION("""COMPUTED_VALUE""")," ")</f>
        <v> </v>
      </c>
      <c r="L32" s="63">
        <f>IFERROR(__xludf.DUMMYFUNCTION("""COMPUTED_VALUE"""),0.35)</f>
        <v>0.35</v>
      </c>
      <c r="M32" s="64" t="str">
        <f>IFERROR(__xludf.DUMMYFUNCTION("""COMPUTED_VALUE"""),"U: [1 W, 1 R (1/10 sh)]; W: [2:1, $11.5]")</f>
        <v>U: [1 W, 1 R (1/10 sh)]; W: [2:1, $11.5]</v>
      </c>
      <c r="N32" s="65" t="str">
        <f>IFERROR(__xludf.DUMMYFUNCTION("""COMPUTED_VALUE"""),"")</f>
        <v/>
      </c>
      <c r="O32" s="66">
        <f>IFERROR(__xludf.DUMMYFUNCTION("""COMPUTED_VALUE"""),0.0)</f>
        <v>0</v>
      </c>
      <c r="P32" s="67">
        <f>IFERROR(__xludf.DUMMYFUNCTION("""COMPUTED_VALUE"""),44144.0)</f>
        <v>44144</v>
      </c>
      <c r="Q32" s="68">
        <f>IFERROR(__xludf.DUMMYFUNCTION("""COMPUTED_VALUE"""),91.53)</f>
        <v>91.53</v>
      </c>
      <c r="R32" s="69" t="str">
        <f>IFERROR(__xludf.DUMMYFUNCTION("""COMPUTED_VALUE"""),"I-Bankers Securities")</f>
        <v>I-Bankers Securities</v>
      </c>
      <c r="S32" s="64">
        <f>IFERROR(__xludf.DUMMYFUNCTION("""COMPUTED_VALUE"""),44782.75)</f>
        <v>44782.75</v>
      </c>
      <c r="T32" s="70">
        <f>IFERROR(__xludf.DUMMYFUNCTION("""COMPUTED_VALUE"""),0.23796477495107632)</f>
        <v>0.237964775</v>
      </c>
      <c r="U32" s="71" t="str">
        <f>IFERROR(__xludf.DUMMYFUNCTION("""COMPUTED_VALUE"""),"https://www.sec.gov/cgi-bin/browse-edgar?CIK=1824884")</f>
        <v>https://www.sec.gov/cgi-bin/browse-edgar?CIK=1824884</v>
      </c>
      <c r="V32" s="72" t="str">
        <f>IFERROR(__xludf.DUMMYFUNCTION("""COMPUTED_VALUE"""),"       Has Rights     ")</f>
        <v>       Has Rights     </v>
      </c>
      <c r="W32" s="73"/>
      <c r="X32" s="74"/>
      <c r="Y32" s="75"/>
      <c r="Z32" s="60"/>
      <c r="AA32" s="60"/>
      <c r="AB32" s="60"/>
      <c r="AC32" s="60"/>
      <c r="AD32" s="73"/>
      <c r="AE32" s="73"/>
      <c r="AF32" s="76"/>
      <c r="AG32" s="60" t="str">
        <f>IFERROR(__xludf.DUMMYFUNCTION("""COMPUTED_VALUE"""),"")</f>
        <v/>
      </c>
    </row>
    <row r="33">
      <c r="A33" s="54" t="str">
        <f>IFERROR(__xludf.DUMMYFUNCTION("""COMPUTED_VALUE"""),"ADRA")</f>
        <v>ADRA</v>
      </c>
      <c r="B33" s="55" t="str">
        <f>IFERROR(__xludf.DUMMYFUNCTION("""COMPUTED_VALUE"""),"Adara Acquisition Corp.")</f>
        <v>Adara Acquisition Corp.</v>
      </c>
      <c r="C33" s="56" t="str">
        <f>IFERROR(__xludf.DUMMYFUNCTION("""COMPUTED_VALUE"""),"Searching")</f>
        <v>Searching</v>
      </c>
      <c r="D33" s="57" t="str">
        <f>IFERROR(__xludf.DUMMYFUNCTION("""COMPUTED_VALUE"""),"Consumer Products")</f>
        <v>Consumer Products</v>
      </c>
      <c r="E33" s="58"/>
      <c r="F33" s="59"/>
      <c r="G33" s="60">
        <f>IFERROR(__xludf.DUMMYFUNCTION("""COMPUTED_VALUE"""),1.15E8)</f>
        <v>115000000</v>
      </c>
      <c r="H33" s="60"/>
      <c r="I33" s="61">
        <f>IFERROR(__xludf.DUMMYFUNCTION("""COMPUTED_VALUE"""),9.73)</f>
        <v>9.73</v>
      </c>
      <c r="J33" s="62">
        <f>IFERROR(__xludf.DUMMYFUNCTION("""COMPUTED_VALUE"""),0.00212)</f>
        <v>0.00212</v>
      </c>
      <c r="K33" s="59">
        <f>IFERROR(__xludf.DUMMYFUNCTION("""COMPUTED_VALUE"""),9.97)</f>
        <v>9.97</v>
      </c>
      <c r="L33" s="63">
        <f>IFERROR(__xludf.DUMMYFUNCTION("""COMPUTED_VALUE"""),0.55)</f>
        <v>0.55</v>
      </c>
      <c r="M33" s="64" t="str">
        <f>IFERROR(__xludf.DUMMYFUNCTION("""COMPUTED_VALUE"""),"U: [1/2 W]; W: [1:1, $11.5]")</f>
        <v>U: [1/2 W]; W: [1:1, $11.5]</v>
      </c>
      <c r="N33" s="65">
        <f>IFERROR(__xludf.DUMMYFUNCTION("""COMPUTED_VALUE"""),44279.0)</f>
        <v>44279</v>
      </c>
      <c r="O33" s="66">
        <f>IFERROR(__xludf.DUMMYFUNCTION("""COMPUTED_VALUE"""),0.0)</f>
        <v>0</v>
      </c>
      <c r="P33" s="67">
        <f>IFERROR(__xludf.DUMMYFUNCTION("""COMPUTED_VALUE"""),44235.0)</f>
        <v>44235</v>
      </c>
      <c r="Q33" s="68">
        <f>IFERROR(__xludf.DUMMYFUNCTION("""COMPUTED_VALUE"""),115.0)</f>
        <v>115</v>
      </c>
      <c r="R33" s="69" t="str">
        <f>IFERROR(__xludf.DUMMYFUNCTION("""COMPUTED_VALUE"""),"ThinkEquity")</f>
        <v>ThinkEquity</v>
      </c>
      <c r="S33" s="64">
        <f>IFERROR(__xludf.DUMMYFUNCTION("""COMPUTED_VALUE"""),44965.0)</f>
        <v>44965</v>
      </c>
      <c r="T33" s="70">
        <f>IFERROR(__xludf.DUMMYFUNCTION("""COMPUTED_VALUE"""),0.08356164383561644)</f>
        <v>0.08356164384</v>
      </c>
      <c r="U33" s="71" t="str">
        <f>IFERROR(__xludf.DUMMYFUNCTION("""COMPUTED_VALUE"""),"https://www.sec.gov/cgi-bin/browse-edgar?CIK=1823584")</f>
        <v>https://www.sec.gov/cgi-bin/browse-edgar?CIK=1823584</v>
      </c>
      <c r="V33" s="72" t="str">
        <f>IFERROR(__xludf.DUMMYFUNCTION("""COMPUTED_VALUE""")," Trading Below $10 (Common)           ")</f>
        <v> Trading Below $10 (Common)           </v>
      </c>
      <c r="W33" s="73"/>
      <c r="X33" s="74"/>
      <c r="Y33" s="75"/>
      <c r="Z33" s="60"/>
      <c r="AA33" s="60"/>
      <c r="AB33" s="60"/>
      <c r="AC33" s="60"/>
      <c r="AD33" s="73"/>
      <c r="AE33" s="73"/>
      <c r="AF33" s="76"/>
      <c r="AG33" s="60" t="str">
        <f>IFERROR(__xludf.DUMMYFUNCTION("""COMPUTED_VALUE"""),"")</f>
        <v/>
      </c>
    </row>
    <row r="34">
      <c r="A34" s="54" t="str">
        <f>IFERROR(__xludf.DUMMYFUNCTION("""COMPUTED_VALUE"""),"AEAC")</f>
        <v>AEAC</v>
      </c>
      <c r="B34" s="55" t="str">
        <f>IFERROR(__xludf.DUMMYFUNCTION("""COMPUTED_VALUE"""),"Authentic Equity Acquisition Corp.")</f>
        <v>Authentic Equity Acquisition Corp.</v>
      </c>
      <c r="C34" s="56" t="str">
        <f>IFERROR(__xludf.DUMMYFUNCTION("""COMPUTED_VALUE"""),"Searching")</f>
        <v>Searching</v>
      </c>
      <c r="D34" s="57" t="str">
        <f>IFERROR(__xludf.DUMMYFUNCTION("""COMPUTED_VALUE"""),"Consumer")</f>
        <v>Consumer</v>
      </c>
      <c r="E34" s="58"/>
      <c r="F34" s="59" t="str">
        <f>IFERROR(__xludf.DUMMYFUNCTION("""COMPUTED_VALUE"""),"Thomas Flocco (Fmr COO, Utz)")</f>
        <v>Thomas Flocco (Fmr COO, Utz)</v>
      </c>
      <c r="G34" s="60">
        <f>IFERROR(__xludf.DUMMYFUNCTION("""COMPUTED_VALUE"""),2.3E8)</f>
        <v>230000000</v>
      </c>
      <c r="H34" s="60">
        <f>IFERROR(__xludf.DUMMYFUNCTION("""COMPUTED_VALUE"""),2.2471E8)</f>
        <v>224710000</v>
      </c>
      <c r="I34" s="61">
        <f>IFERROR(__xludf.DUMMYFUNCTION("""COMPUTED_VALUE"""),9.77)</f>
        <v>9.77</v>
      </c>
      <c r="J34" s="62">
        <f>IFERROR(__xludf.DUMMYFUNCTION("""COMPUTED_VALUE"""),0.00205)</f>
        <v>0.00205</v>
      </c>
      <c r="K34" s="59">
        <f>IFERROR(__xludf.DUMMYFUNCTION("""COMPUTED_VALUE"""),10.15)</f>
        <v>10.15</v>
      </c>
      <c r="L34" s="63">
        <f>IFERROR(__xludf.DUMMYFUNCTION("""COMPUTED_VALUE"""),0.9)</f>
        <v>0.9</v>
      </c>
      <c r="M34" s="64" t="str">
        <f>IFERROR(__xludf.DUMMYFUNCTION("""COMPUTED_VALUE"""),"U: [1/2 W]; W: [1:1, $11.5]")</f>
        <v>U: [1/2 W]; W: [1:1, $11.5]</v>
      </c>
      <c r="N34" s="65">
        <f>IFERROR(__xludf.DUMMYFUNCTION("""COMPUTED_VALUE"""),44263.0)</f>
        <v>44263</v>
      </c>
      <c r="O34" s="66">
        <f>IFERROR(__xludf.DUMMYFUNCTION("""COMPUTED_VALUE"""),0.0)</f>
        <v>0</v>
      </c>
      <c r="P34" s="67">
        <f>IFERROR(__xludf.DUMMYFUNCTION("""COMPUTED_VALUE"""),44210.0)</f>
        <v>44210</v>
      </c>
      <c r="Q34" s="68">
        <f>IFERROR(__xludf.DUMMYFUNCTION("""COMPUTED_VALUE"""),230.0)</f>
        <v>230</v>
      </c>
      <c r="R34" s="69" t="str">
        <f>IFERROR(__xludf.DUMMYFUNCTION("""COMPUTED_VALUE"""),"Jefferies, BMO Capital Markets")</f>
        <v>Jefferies, BMO Capital Markets</v>
      </c>
      <c r="S34" s="64">
        <f>IFERROR(__xludf.DUMMYFUNCTION("""COMPUTED_VALUE"""),44940.0)</f>
        <v>44940</v>
      </c>
      <c r="T34" s="70">
        <f>IFERROR(__xludf.DUMMYFUNCTION("""COMPUTED_VALUE"""),0.1178082191780822)</f>
        <v>0.1178082192</v>
      </c>
      <c r="U34" s="71" t="str">
        <f>IFERROR(__xludf.DUMMYFUNCTION("""COMPUTED_VALUE"""),"https://www.sec.gov/cgi-bin/browse-edgar?CIK=1827392")</f>
        <v>https://www.sec.gov/cgi-bin/browse-edgar?CIK=1827392</v>
      </c>
      <c r="V34" s="72" t="str">
        <f>IFERROR(__xludf.DUMMYFUNCTION("""COMPUTED_VALUE""")," Trading Below $10 (Common)           ")</f>
        <v> Trading Below $10 (Common)           </v>
      </c>
      <c r="W34" s="73"/>
      <c r="X34" s="74"/>
      <c r="Y34" s="75"/>
      <c r="Z34" s="60"/>
      <c r="AA34" s="60"/>
      <c r="AB34" s="60"/>
      <c r="AC34" s="60"/>
      <c r="AD34" s="73"/>
      <c r="AE34" s="73"/>
      <c r="AF34" s="76"/>
      <c r="AG34" s="60" t="str">
        <f>IFERROR(__xludf.DUMMYFUNCTION("""COMPUTED_VALUE"""),"")</f>
        <v/>
      </c>
    </row>
    <row r="35">
      <c r="A35" s="54" t="str">
        <f>IFERROR(__xludf.DUMMYFUNCTION("""COMPUTED_VALUE"""),"AFAC")</f>
        <v>AFAC</v>
      </c>
      <c r="B35" s="55" t="str">
        <f>IFERROR(__xludf.DUMMYFUNCTION("""COMPUTED_VALUE"""),"Arena Fortify Acquisition Corp.")</f>
        <v>Arena Fortify Acquisition Corp.</v>
      </c>
      <c r="C35" s="56" t="str">
        <f>IFERROR(__xludf.DUMMYFUNCTION("""COMPUTED_VALUE"""),"Pre IPO")</f>
        <v>Pre IPO</v>
      </c>
      <c r="D35" s="77" t="str">
        <f>IFERROR(__xludf.DUMMYFUNCTION("""COMPUTED_VALUE"""),"Natural Resources (recent bankruptcy/restructuring)")</f>
        <v>Natural Resources (recent bankruptcy/restructuring)</v>
      </c>
      <c r="E35" s="58"/>
      <c r="F35" s="59" t="str">
        <f>IFERROR(__xludf.DUMMYFUNCTION("""COMPUTED_VALUE"""),"Daniel Zwirn (CEO &amp; CIO of Arena Investors and Founder &amp; Former Managing Partner of D.B. Zwirn &amp; Co)")</f>
        <v>Daniel Zwirn (CEO &amp; CIO of Arena Investors and Founder &amp; Former Managing Partner of D.B. Zwirn &amp; Co)</v>
      </c>
      <c r="G35" s="60">
        <f>IFERROR(__xludf.DUMMYFUNCTION("""COMPUTED_VALUE"""),2.0E8)</f>
        <v>200000000</v>
      </c>
      <c r="H35" s="60" t="str">
        <f>IFERROR(__xludf.DUMMYFUNCTION("""COMPUTED_VALUE""")," ")</f>
        <v> </v>
      </c>
      <c r="I35" s="61" t="str">
        <f>IFERROR(__xludf.DUMMYFUNCTION("""COMPUTED_VALUE""")," ")</f>
        <v> </v>
      </c>
      <c r="J35" s="62" t="str">
        <f>IFERROR(__xludf.DUMMYFUNCTION("""COMPUTED_VALUE""")," ")</f>
        <v> </v>
      </c>
      <c r="K35" s="59" t="str">
        <f>IFERROR(__xludf.DUMMYFUNCTION("""COMPUTED_VALUE""")," ")</f>
        <v> </v>
      </c>
      <c r="L35" s="63" t="str">
        <f>IFERROR(__xludf.DUMMYFUNCTION("""COMPUTED_VALUE""")," ")</f>
        <v> </v>
      </c>
      <c r="M35" s="64" t="str">
        <f>IFERROR(__xludf.DUMMYFUNCTION("""COMPUTED_VALUE"""),"U: [1/3 W]; W: [1:1, $11.5]")</f>
        <v>U: [1/3 W]; W: [1:1, $11.5]</v>
      </c>
      <c r="N35" s="65" t="str">
        <f>IFERROR(__xludf.DUMMYFUNCTION("""COMPUTED_VALUE"""),"")</f>
        <v/>
      </c>
      <c r="O35" s="66">
        <f>IFERROR(__xludf.DUMMYFUNCTION("""COMPUTED_VALUE"""),0.0)</f>
        <v>0</v>
      </c>
      <c r="P35" s="67"/>
      <c r="Q35" s="68">
        <f>IFERROR(__xludf.DUMMYFUNCTION("""COMPUTED_VALUE"""),200.0)</f>
        <v>200</v>
      </c>
      <c r="R35" s="69" t="str">
        <f>IFERROR(__xludf.DUMMYFUNCTION("""COMPUTED_VALUE"""),"Cowen, Intrepid Partners")</f>
        <v>Cowen, Intrepid Partners</v>
      </c>
      <c r="S35" s="64">
        <f>IFERROR(__xludf.DUMMYFUNCTION("""COMPUTED_VALUE"""),45086.0)</f>
        <v>45086</v>
      </c>
      <c r="T35" s="70" t="str">
        <f>IFERROR(__xludf.DUMMYFUNCTION("""COMPUTED_VALUE"""),"")</f>
        <v/>
      </c>
      <c r="U35" s="71" t="str">
        <f>IFERROR(__xludf.DUMMYFUNCTION("""COMPUTED_VALUE"""),"https://www.sec.gov/cgi-bin/browse-edgar?CIK=1849489")</f>
        <v>https://www.sec.gov/cgi-bin/browse-edgar?CIK=1849489</v>
      </c>
      <c r="V35" s="72" t="str">
        <f>IFERROR(__xludf.DUMMYFUNCTION("""COMPUTED_VALUE"""),"         Well-known Sponsor   ")</f>
        <v>         Well-known Sponsor   </v>
      </c>
      <c r="W35" s="73"/>
      <c r="X35" s="74"/>
      <c r="Y35" s="75"/>
      <c r="Z35" s="60"/>
      <c r="AA35" s="60"/>
      <c r="AB35" s="60"/>
      <c r="AC35" s="60"/>
      <c r="AD35" s="73"/>
      <c r="AE35" s="73"/>
      <c r="AF35" s="76"/>
      <c r="AG35" s="60"/>
    </row>
    <row r="36">
      <c r="A36" s="54" t="str">
        <f>IFERROR(__xludf.DUMMYFUNCTION("""COMPUTED_VALUE"""),"AFAQ")</f>
        <v>AFAQ</v>
      </c>
      <c r="B36" s="55" t="str">
        <f>IFERROR(__xludf.DUMMYFUNCTION("""COMPUTED_VALUE"""),"AF Acquisition Corp.")</f>
        <v>AF Acquisition Corp.</v>
      </c>
      <c r="C36" s="56" t="str">
        <f>IFERROR(__xludf.DUMMYFUNCTION("""COMPUTED_VALUE"""),"Searching (Pre Unit Split)")</f>
        <v>Searching (Pre Unit Split)</v>
      </c>
      <c r="D36" s="77" t="str">
        <f>IFERROR(__xludf.DUMMYFUNCTION("""COMPUTED_VALUE"""),"Food &amp; Beverage, Health &amp; Wellness, Beauty, Personal care and Pet ")</f>
        <v>Food &amp; Beverage, Health &amp; Wellness, Beauty, Personal care and Pet </v>
      </c>
      <c r="E36" s="58"/>
      <c r="F36" s="59" t="str">
        <f>IFERROR(__xludf.DUMMYFUNCTION("""COMPUTED_VALUE"""),"Jordan Gaspar (Managing Partner, AF Ventures)")</f>
        <v>Jordan Gaspar (Managing Partner, AF Ventures)</v>
      </c>
      <c r="G36" s="60">
        <f>IFERROR(__xludf.DUMMYFUNCTION("""COMPUTED_VALUE"""),2.24E8)</f>
        <v>224000000</v>
      </c>
      <c r="H36" s="60" t="str">
        <f>IFERROR(__xludf.DUMMYFUNCTION("""COMPUTED_VALUE""")," ")</f>
        <v> </v>
      </c>
      <c r="I36" s="61" t="str">
        <f>IFERROR(__xludf.DUMMYFUNCTION("""COMPUTED_VALUE""")," ")</f>
        <v> </v>
      </c>
      <c r="J36" s="62" t="str">
        <f>IFERROR(__xludf.DUMMYFUNCTION("""COMPUTED_VALUE""")," ")</f>
        <v> </v>
      </c>
      <c r="K36" s="59">
        <f>IFERROR(__xludf.DUMMYFUNCTION("""COMPUTED_VALUE"""),10.0)</f>
        <v>10</v>
      </c>
      <c r="L36" s="63" t="str">
        <f>IFERROR(__xludf.DUMMYFUNCTION("""COMPUTED_VALUE""")," ")</f>
        <v> </v>
      </c>
      <c r="M36" s="64" t="str">
        <f>IFERROR(__xludf.DUMMYFUNCTION("""COMPUTED_VALUE"""),"U: [1/3 W]; W: [1:1, $11.5]")</f>
        <v>U: [1/3 W]; W: [1:1, $11.5]</v>
      </c>
      <c r="N36" s="65">
        <f>IFERROR(__xludf.DUMMYFUNCTION("""COMPUTED_VALUE"""),44325.0)</f>
        <v>44325</v>
      </c>
      <c r="O36" s="66">
        <f>IFERROR(__xludf.DUMMYFUNCTION("""COMPUTED_VALUE"""),0.0)</f>
        <v>0</v>
      </c>
      <c r="P36" s="67">
        <f>IFERROR(__xludf.DUMMYFUNCTION("""COMPUTED_VALUE"""),44273.0)</f>
        <v>44273</v>
      </c>
      <c r="Q36" s="68">
        <f>IFERROR(__xludf.DUMMYFUNCTION("""COMPUTED_VALUE"""),224.0)</f>
        <v>224</v>
      </c>
      <c r="R36" s="69" t="str">
        <f>IFERROR(__xludf.DUMMYFUNCTION("""COMPUTED_VALUE"""),"Cowen ")</f>
        <v>Cowen </v>
      </c>
      <c r="S36" s="64">
        <f>IFERROR(__xludf.DUMMYFUNCTION("""COMPUTED_VALUE"""),45003.0)</f>
        <v>45003</v>
      </c>
      <c r="T36" s="70">
        <f>IFERROR(__xludf.DUMMYFUNCTION("""COMPUTED_VALUE"""),0.031506849315068496)</f>
        <v>0.03150684932</v>
      </c>
      <c r="U36" s="71" t="str">
        <f>IFERROR(__xludf.DUMMYFUNCTION("""COMPUTED_VALUE"""),"https://www.sec.gov/cgi-bin/browse-edgar?CIK=1841661")</f>
        <v>https://www.sec.gov/cgi-bin/browse-edgar?CIK=1841661</v>
      </c>
      <c r="V36" s="72" t="str">
        <f>IFERROR(__xludf.DUMMYFUNCTION("""COMPUTED_VALUE"""),"            ")</f>
        <v>            </v>
      </c>
      <c r="W36" s="73"/>
      <c r="X36" s="74"/>
      <c r="Y36" s="75"/>
      <c r="Z36" s="60"/>
      <c r="AA36" s="60"/>
      <c r="AB36" s="60"/>
      <c r="AC36" s="60"/>
      <c r="AD36" s="73"/>
      <c r="AE36" s="73"/>
      <c r="AF36" s="76"/>
      <c r="AG36" s="60"/>
    </row>
    <row r="37">
      <c r="A37" s="54" t="str">
        <f>IFERROR(__xludf.DUMMYFUNCTION("""COMPUTED_VALUE"""),"AGAC")</f>
        <v>AGAC</v>
      </c>
      <c r="B37" s="55" t="str">
        <f>IFERROR(__xludf.DUMMYFUNCTION("""COMPUTED_VALUE"""),"African Gold Acquisition Corporation")</f>
        <v>African Gold Acquisition Corporation</v>
      </c>
      <c r="C37" s="56" t="str">
        <f>IFERROR(__xludf.DUMMYFUNCTION("""COMPUTED_VALUE"""),"Searching")</f>
        <v>Searching</v>
      </c>
      <c r="D37" s="57" t="str">
        <f>IFERROR(__xludf.DUMMYFUNCTION("""COMPUTED_VALUE"""),"Gold Mining")</f>
        <v>Gold Mining</v>
      </c>
      <c r="E37" s="58"/>
      <c r="F37" s="59" t="str">
        <f>IFERROR(__xludf.DUMMYFUNCTION("""COMPUTED_VALUE"""),"Robert Hersov (Founder/CEO, Invest Africa)")</f>
        <v>Robert Hersov (Founder/CEO, Invest Africa)</v>
      </c>
      <c r="G37" s="60">
        <f>IFERROR(__xludf.DUMMYFUNCTION("""COMPUTED_VALUE"""),4.14E8)</f>
        <v>414000000</v>
      </c>
      <c r="H37" s="60"/>
      <c r="I37" s="61">
        <f>IFERROR(__xludf.DUMMYFUNCTION("""COMPUTED_VALUE"""),9.66)</f>
        <v>9.66</v>
      </c>
      <c r="J37" s="62">
        <f>IFERROR(__xludf.DUMMYFUNCTION("""COMPUTED_VALUE"""),0.00207)</f>
        <v>0.00207</v>
      </c>
      <c r="K37" s="59">
        <f>IFERROR(__xludf.DUMMYFUNCTION("""COMPUTED_VALUE"""),9.99)</f>
        <v>9.99</v>
      </c>
      <c r="L37" s="63">
        <f>IFERROR(__xludf.DUMMYFUNCTION("""COMPUTED_VALUE"""),0.52)</f>
        <v>0.52</v>
      </c>
      <c r="M37" s="64" t="str">
        <f>IFERROR(__xludf.DUMMYFUNCTION("""COMPUTED_VALUE"""),"U: [3/4 W]; W: [1:1, $11.5]")</f>
        <v>U: [3/4 W]; W: [1:1, $11.5]</v>
      </c>
      <c r="N37" s="65" t="str">
        <f>IFERROR(__xludf.DUMMYFUNCTION("""COMPUTED_VALUE"""),"")</f>
        <v/>
      </c>
      <c r="O37" s="66">
        <f>IFERROR(__xludf.DUMMYFUNCTION("""COMPUTED_VALUE"""),0.0)</f>
        <v>0</v>
      </c>
      <c r="P37" s="67">
        <f>IFERROR(__xludf.DUMMYFUNCTION("""COMPUTED_VALUE"""),44252.0)</f>
        <v>44252</v>
      </c>
      <c r="Q37" s="68">
        <f>IFERROR(__xludf.DUMMYFUNCTION("""COMPUTED_VALUE"""),414.0)</f>
        <v>414</v>
      </c>
      <c r="R37" s="69" t="str">
        <f>IFERROR(__xludf.DUMMYFUNCTION("""COMPUTED_VALUE"""),"B. Riley Securities")</f>
        <v>B. Riley Securities</v>
      </c>
      <c r="S37" s="64">
        <f>IFERROR(__xludf.DUMMYFUNCTION("""COMPUTED_VALUE"""),44982.0)</f>
        <v>44982</v>
      </c>
      <c r="T37" s="70">
        <f>IFERROR(__xludf.DUMMYFUNCTION("""COMPUTED_VALUE"""),0.06027397260273973)</f>
        <v>0.0602739726</v>
      </c>
      <c r="U37" s="71" t="str">
        <f>IFERROR(__xludf.DUMMYFUNCTION("""COMPUTED_VALUE"""),"https://www.sec.gov/cgi-bin/browse-edgar?CIK=1833909")</f>
        <v>https://www.sec.gov/cgi-bin/browse-edgar?CIK=1833909</v>
      </c>
      <c r="V37" s="72" t="str">
        <f>IFERROR(__xludf.DUMMYFUNCTION("""COMPUTED_VALUE""")," Trading Below $10 (Common)           ")</f>
        <v> Trading Below $10 (Common)           </v>
      </c>
      <c r="W37" s="73"/>
      <c r="X37" s="74"/>
      <c r="Y37" s="75"/>
      <c r="Z37" s="60"/>
      <c r="AA37" s="60"/>
      <c r="AB37" s="60"/>
      <c r="AC37" s="60"/>
      <c r="AD37" s="73"/>
      <c r="AE37" s="73"/>
      <c r="AF37" s="76"/>
      <c r="AG37" s="60" t="str">
        <f>IFERROR(__xludf.DUMMYFUNCTION("""COMPUTED_VALUE"""),"")</f>
        <v/>
      </c>
    </row>
    <row r="38">
      <c r="A38" s="54" t="str">
        <f>IFERROR(__xludf.DUMMYFUNCTION("""COMPUTED_VALUE"""),"AGBA")</f>
        <v>AGBA</v>
      </c>
      <c r="B38" s="55" t="str">
        <f>IFERROR(__xludf.DUMMYFUNCTION("""COMPUTED_VALUE"""),"Agba Acquisition Ltd")</f>
        <v>Agba Acquisition Ltd</v>
      </c>
      <c r="C38" s="56" t="str">
        <f>IFERROR(__xludf.DUMMYFUNCTION("""COMPUTED_VALUE"""),"LOI")</f>
        <v>LOI</v>
      </c>
      <c r="D38" s="77" t="str">
        <f>IFERROR(__xludf.DUMMYFUNCTION("""COMPUTED_VALUE"""),"China")</f>
        <v>China</v>
      </c>
      <c r="E38" s="58" t="str">
        <f>IFERROR(__xludf.DUMMYFUNCTION("""COMPUTED_VALUE"""),"Convoy [Non-binding LOI 11/27/20]")</f>
        <v>Convoy [Non-binding LOI 11/27/20]</v>
      </c>
      <c r="F38" s="59"/>
      <c r="G38" s="60">
        <f>IFERROR(__xludf.DUMMYFUNCTION("""COMPUTED_VALUE"""),4.8249909E7)</f>
        <v>48249909</v>
      </c>
      <c r="H38" s="60">
        <f>IFERROR(__xludf.DUMMYFUNCTION("""COMPUTED_VALUE"""),5.6583966E7)</f>
        <v>56583966</v>
      </c>
      <c r="I38" s="61">
        <f>IFERROR(__xludf.DUMMYFUNCTION("""COMPUTED_VALUE"""),10.6)</f>
        <v>10.6</v>
      </c>
      <c r="J38" s="62">
        <f>IFERROR(__xludf.DUMMYFUNCTION("""COMPUTED_VALUE"""),0.00474)</f>
        <v>0.00474</v>
      </c>
      <c r="K38" s="59">
        <f>IFERROR(__xludf.DUMMYFUNCTION("""COMPUTED_VALUE"""),10.75)</f>
        <v>10.75</v>
      </c>
      <c r="L38" s="63">
        <f>IFERROR(__xludf.DUMMYFUNCTION("""COMPUTED_VALUE"""),0.2412)</f>
        <v>0.2412</v>
      </c>
      <c r="M38" s="73" t="str">
        <f>IFERROR(__xludf.DUMMYFUNCTION("""COMPUTED_VALUE"""),"U: [1 W, 1 R (1/10 sh)]; W: [2:1, $11.5]")</f>
        <v>U: [1 W, 1 R (1/10 sh)]; W: [2:1, $11.5]</v>
      </c>
      <c r="N38" s="65" t="str">
        <f>IFERROR(__xludf.DUMMYFUNCTION("""COMPUTED_VALUE"""),"")</f>
        <v/>
      </c>
      <c r="O38" s="66">
        <f>IFERROR(__xludf.DUMMYFUNCTION("""COMPUTED_VALUE"""),0.0)</f>
        <v>0</v>
      </c>
      <c r="P38" s="67">
        <f>IFERROR(__xludf.DUMMYFUNCTION("""COMPUTED_VALUE"""),43599.0)</f>
        <v>43599</v>
      </c>
      <c r="Q38" s="68">
        <f>IFERROR(__xludf.DUMMYFUNCTION("""COMPUTED_VALUE"""),46.0)</f>
        <v>46</v>
      </c>
      <c r="R38" s="69" t="str">
        <f>IFERROR(__xludf.DUMMYFUNCTION("""COMPUTED_VALUE"""),"Maxim")</f>
        <v>Maxim</v>
      </c>
      <c r="S38" s="64">
        <f>IFERROR(__xludf.DUMMYFUNCTION("""COMPUTED_VALUE"""),44332.0)</f>
        <v>44332</v>
      </c>
      <c r="T38" s="70">
        <f>IFERROR(__xludf.DUMMYFUNCTION("""COMPUTED_VALUE"""),0.9508867667121419)</f>
        <v>0.9508867667</v>
      </c>
      <c r="U38" s="71" t="str">
        <f>IFERROR(__xludf.DUMMYFUNCTION("""COMPUTED_VALUE"""),"https://www.sec.gov/cgi-bin/browse-edgar?CIK=1769624")</f>
        <v>https://www.sec.gov/cgi-bin/browse-edgar?CIK=1769624</v>
      </c>
      <c r="V38" s="72" t="str">
        <f>IFERROR(__xludf.DUMMYFUNCTION("""COMPUTED_VALUE"""),"      Deadline Approaching Has Rights     ")</f>
        <v>      Deadline Approaching Has Rights     </v>
      </c>
      <c r="W38" s="73"/>
      <c r="X38" s="74"/>
      <c r="Y38" s="75"/>
      <c r="Z38" s="60"/>
      <c r="AA38" s="60"/>
      <c r="AB38" s="60"/>
      <c r="AC38" s="60"/>
      <c r="AD38" s="73"/>
      <c r="AE38" s="73"/>
      <c r="AF38" s="76"/>
      <c r="AG38" s="60" t="str">
        <f>IFERROR(__xludf.DUMMYFUNCTION("""COMPUTED_VALUE"""),"")</f>
        <v/>
      </c>
    </row>
    <row r="39">
      <c r="A39" s="54" t="str">
        <f>IFERROR(__xludf.DUMMYFUNCTION("""COMPUTED_VALUE"""),"AGC")</f>
        <v>AGC</v>
      </c>
      <c r="B39" s="55" t="str">
        <f>IFERROR(__xludf.DUMMYFUNCTION("""COMPUTED_VALUE"""),"Altimeter Growth Corp")</f>
        <v>Altimeter Growth Corp</v>
      </c>
      <c r="C39" s="56" t="str">
        <f>IFERROR(__xludf.DUMMYFUNCTION("""COMPUTED_VALUE"""),"Searching")</f>
        <v>Searching</v>
      </c>
      <c r="D39" s="57" t="str">
        <f>IFERROR(__xludf.DUMMYFUNCTION("""COMPUTED_VALUE"""),"Tech")</f>
        <v>Tech</v>
      </c>
      <c r="E39" s="58" t="str">
        <f>IFERROR(__xludf.DUMMYFUNCTION("""COMPUTED_VALUE"""),"[In talks (unconfirmed) with Grab: Per Bloomberg 3/12/21]")</f>
        <v>[In talks (unconfirmed) with Grab: Per Bloomberg 3/12/21]</v>
      </c>
      <c r="F39" s="59" t="str">
        <f>IFERROR(__xludf.DUMMYFUNCTION("""COMPUTED_VALUE"""),"Brad Gerstner (Founder, Altimeter: invested in Facebook, Uber, AirBnB, ByteDance, Twilio, Unity, Snowflake)")</f>
        <v>Brad Gerstner (Founder, Altimeter: invested in Facebook, Uber, AirBnB, ByteDance, Twilio, Unity, Snowflake)</v>
      </c>
      <c r="G39" s="60">
        <f>IFERROR(__xludf.DUMMYFUNCTION("""COMPUTED_VALUE"""),5.0E8)</f>
        <v>500000000</v>
      </c>
      <c r="H39" s="60">
        <f>IFERROR(__xludf.DUMMYFUNCTION("""COMPUTED_VALUE"""),6.875E8)</f>
        <v>687500000</v>
      </c>
      <c r="I39" s="61">
        <f>IFERROR(__xludf.DUMMYFUNCTION("""COMPUTED_VALUE"""),13.75)</f>
        <v>13.75</v>
      </c>
      <c r="J39" s="62">
        <f>IFERROR(__xludf.DUMMYFUNCTION("""COMPUTED_VALUE"""),-0.02482)</f>
        <v>-0.02482</v>
      </c>
      <c r="K39" s="59" t="str">
        <f>IFERROR(__xludf.DUMMYFUNCTION("""COMPUTED_VALUE""")," ")</f>
        <v> </v>
      </c>
      <c r="L39" s="63">
        <f>IFERROR(__xludf.DUMMYFUNCTION("""COMPUTED_VALUE"""),4.99)</f>
        <v>4.99</v>
      </c>
      <c r="M39" s="83" t="str">
        <f>IFERROR(__xludf.DUMMYFUNCTION("""COMPUTED_VALUE"""),"U: [1/5 W]; W: [1:1, $11.5]")</f>
        <v>U: [1/5 W]; W: [1:1, $11.5]</v>
      </c>
      <c r="N39" s="65" t="str">
        <f>IFERROR(__xludf.DUMMYFUNCTION("""COMPUTED_VALUE"""),"")</f>
        <v/>
      </c>
      <c r="O39" s="66">
        <f>IFERROR(__xludf.DUMMYFUNCTION("""COMPUTED_VALUE"""),2.25)</f>
        <v>2.25</v>
      </c>
      <c r="P39" s="67">
        <f>IFERROR(__xludf.DUMMYFUNCTION("""COMPUTED_VALUE"""),44104.0)</f>
        <v>44104</v>
      </c>
      <c r="Q39" s="68">
        <f>IFERROR(__xludf.DUMMYFUNCTION("""COMPUTED_VALUE"""),500.0)</f>
        <v>500</v>
      </c>
      <c r="R39" s="69" t="str">
        <f>IFERROR(__xludf.DUMMYFUNCTION("""COMPUTED_VALUE"""),"Citigroup, Goldman Sachs, Morgan Stanley")</f>
        <v>Citigroup, Goldman Sachs, Morgan Stanley</v>
      </c>
      <c r="S39" s="64">
        <f>IFERROR(__xludf.DUMMYFUNCTION("""COMPUTED_VALUE"""),44834.0)</f>
        <v>44834</v>
      </c>
      <c r="T39" s="70">
        <f>IFERROR(__xludf.DUMMYFUNCTION("""COMPUTED_VALUE"""),0.26301369863013696)</f>
        <v>0.2630136986</v>
      </c>
      <c r="U39" s="71" t="str">
        <f>IFERROR(__xludf.DUMMYFUNCTION("""COMPUTED_VALUE"""),"https://www.sec.gov/cgi-bin/browse-edgar?CIK=1823340")</f>
        <v>https://www.sec.gov/cgi-bin/browse-edgar?CIK=1823340</v>
      </c>
      <c r="V39" s="72" t="str">
        <f>IFERROR(__xludf.DUMMYFUNCTION("""COMPUTED_VALUE"""),"   $500M+ Trust Optionable    Well-known Sponsor  Top Tier UW ")</f>
        <v>   $500M+ Trust Optionable    Well-known Sponsor  Top Tier UW </v>
      </c>
      <c r="W39" s="73"/>
      <c r="X39" s="74"/>
      <c r="Y39" s="75"/>
      <c r="Z39" s="60"/>
      <c r="AA39" s="60"/>
      <c r="AB39" s="60"/>
      <c r="AC39" s="60"/>
      <c r="AD39" s="73"/>
      <c r="AE39" s="73"/>
      <c r="AF39" s="76"/>
      <c r="AG39" s="60" t="str">
        <f>IFERROR(__xludf.DUMMYFUNCTION("""COMPUTED_VALUE"""),"")</f>
        <v/>
      </c>
    </row>
    <row r="40">
      <c r="A40" s="54" t="str">
        <f>IFERROR(__xludf.DUMMYFUNCTION("""COMPUTED_VALUE"""),"AGCB")</f>
        <v>AGCB</v>
      </c>
      <c r="B40" s="55" t="str">
        <f>IFERROR(__xludf.DUMMYFUNCTION("""COMPUTED_VALUE"""),"Altimeter Growth Corp 2")</f>
        <v>Altimeter Growth Corp 2</v>
      </c>
      <c r="C40" s="56" t="str">
        <f>IFERROR(__xludf.DUMMYFUNCTION("""COMPUTED_VALUE"""),"Searching")</f>
        <v>Searching</v>
      </c>
      <c r="D40" s="57" t="str">
        <f>IFERROR(__xludf.DUMMYFUNCTION("""COMPUTED_VALUE"""),"Tech")</f>
        <v>Tech</v>
      </c>
      <c r="E40" s="58"/>
      <c r="F40" s="59" t="str">
        <f>IFERROR(__xludf.DUMMYFUNCTION("""COMPUTED_VALUE"""),"Brad Gerstner (Founder, Altimeter: invested in Facebook, Uber, AirBnB, ByteDance, Twilio, Unity, Snowflake)")</f>
        <v>Brad Gerstner (Founder, Altimeter: invested in Facebook, Uber, AirBnB, ByteDance, Twilio, Unity, Snowflake)</v>
      </c>
      <c r="G40" s="60">
        <f>IFERROR(__xludf.DUMMYFUNCTION("""COMPUTED_VALUE"""),4.5E8)</f>
        <v>450000000</v>
      </c>
      <c r="H40" s="60">
        <f>IFERROR(__xludf.DUMMYFUNCTION("""COMPUTED_VALUE"""),4.977E8)</f>
        <v>497700000</v>
      </c>
      <c r="I40" s="61">
        <f>IFERROR(__xludf.DUMMYFUNCTION("""COMPUTED_VALUE"""),11.06)</f>
        <v>11.06</v>
      </c>
      <c r="J40" s="62">
        <f>IFERROR(__xludf.DUMMYFUNCTION("""COMPUTED_VALUE"""),9.0E-4)</f>
        <v>0.0009</v>
      </c>
      <c r="K40" s="59" t="str">
        <f>IFERROR(__xludf.DUMMYFUNCTION("""COMPUTED_VALUE""")," ")</f>
        <v> </v>
      </c>
      <c r="L40" s="63" t="str">
        <f>IFERROR(__xludf.DUMMYFUNCTION("""COMPUTED_VALUE""")," ")</f>
        <v> </v>
      </c>
      <c r="M40" s="84" t="str">
        <f>IFERROR(__xludf.DUMMYFUNCTION("""COMPUTED_VALUE"""),"U: [No units]; W: [No warrants]")</f>
        <v>U: [No units]; W: [No warrants]</v>
      </c>
      <c r="N40" s="65" t="str">
        <f>IFERROR(__xludf.DUMMYFUNCTION("""COMPUTED_VALUE"""),"")</f>
        <v/>
      </c>
      <c r="O40" s="66">
        <f>IFERROR(__xludf.DUMMYFUNCTION("""COMPUTED_VALUE"""),0.0)</f>
        <v>0</v>
      </c>
      <c r="P40" s="67">
        <f>IFERROR(__xludf.DUMMYFUNCTION("""COMPUTED_VALUE"""),44203.0)</f>
        <v>44203</v>
      </c>
      <c r="Q40" s="68">
        <f>IFERROR(__xludf.DUMMYFUNCTION("""COMPUTED_VALUE"""),450.0)</f>
        <v>450</v>
      </c>
      <c r="R40" s="69" t="str">
        <f>IFERROR(__xludf.DUMMYFUNCTION("""COMPUTED_VALUE"""),"Goldman Sachs, Morgan Stanley")</f>
        <v>Goldman Sachs, Morgan Stanley</v>
      </c>
      <c r="S40" s="64">
        <f>IFERROR(__xludf.DUMMYFUNCTION("""COMPUTED_VALUE"""),44933.0)</f>
        <v>44933</v>
      </c>
      <c r="T40" s="70">
        <f>IFERROR(__xludf.DUMMYFUNCTION("""COMPUTED_VALUE"""),0.1273972602739726)</f>
        <v>0.1273972603</v>
      </c>
      <c r="U40" s="71" t="str">
        <f>IFERROR(__xludf.DUMMYFUNCTION("""COMPUTED_VALUE"""),"https://www.sec.gov/cgi-bin/browse-edgar?CIK=1830232")</f>
        <v>https://www.sec.gov/cgi-bin/browse-edgar?CIK=1830232</v>
      </c>
      <c r="V40" s="72" t="str">
        <f>IFERROR(__xludf.DUMMYFUNCTION("""COMPUTED_VALUE"""),"     Optionable    Well-known Sponsor  Top Tier UW ")</f>
        <v>     Optionable    Well-known Sponsor  Top Tier UW </v>
      </c>
      <c r="W40" s="73"/>
      <c r="X40" s="74"/>
      <c r="Y40" s="75"/>
      <c r="Z40" s="60"/>
      <c r="AA40" s="60"/>
      <c r="AB40" s="60"/>
      <c r="AC40" s="60"/>
      <c r="AD40" s="73"/>
      <c r="AE40" s="73"/>
      <c r="AF40" s="76"/>
      <c r="AG40" s="60" t="str">
        <f>IFERROR(__xludf.DUMMYFUNCTION("""COMPUTED_VALUE"""),"")</f>
        <v/>
      </c>
    </row>
    <row r="41">
      <c r="A41" s="54" t="str">
        <f>IFERROR(__xludf.DUMMYFUNCTION("""COMPUTED_VALUE"""),"AGGR")</f>
        <v>AGGR</v>
      </c>
      <c r="B41" s="55" t="str">
        <f>IFERROR(__xludf.DUMMYFUNCTION("""COMPUTED_VALUE"""),"Agile Growth Corp.")</f>
        <v>Agile Growth Corp.</v>
      </c>
      <c r="C41" s="56" t="str">
        <f>IFERROR(__xludf.DUMMYFUNCTION("""COMPUTED_VALUE"""),"Searching (Pre Unit Split)")</f>
        <v>Searching (Pre Unit Split)</v>
      </c>
      <c r="D41" s="77" t="str">
        <f>IFERROR(__xludf.DUMMYFUNCTION("""COMPUTED_VALUE"""),"Tech: Software, HCIT, Fintech, robotics/automation, EdTech")</f>
        <v>Tech: Software, HCIT, Fintech, robotics/automation, EdTech</v>
      </c>
      <c r="E41" s="58"/>
      <c r="F41" s="59" t="str">
        <f>IFERROR(__xludf.DUMMYFUNCTION("""COMPUTED_VALUE"""),"Jay Bhatt (Fmr CEO, Alfresco Software; Fmr CEO, Blackboard), John Newton (Founder/CTO, Alfresco Software), Steven Alesio (Fmr Chairman/CEO, Dun &amp; Bradstreet), Carol Bartz (Fmr CEO, Yahoo!; Fmr CEO, Autodesk) 
Carl Bass (Fmr CEO, Autodesk; Fmr Director, Au"&amp;"todesk and Hewlett-Packard)")</f>
        <v>Jay Bhatt (Fmr CEO, Alfresco Software; Fmr CEO, Blackboard), John Newton (Founder/CTO, Alfresco Software), Steven Alesio (Fmr Chairman/CEO, Dun &amp; Bradstreet), Carol Bartz (Fmr CEO, Yahoo!; Fmr CEO, Autodesk) 
Carl Bass (Fmr CEO, Autodesk; Fmr Director, Autodesk and Hewlett-Packard)</v>
      </c>
      <c r="G41" s="60">
        <f>IFERROR(__xludf.DUMMYFUNCTION("""COMPUTED_VALUE"""),3.0E8)</f>
        <v>300000000</v>
      </c>
      <c r="H41" s="60" t="str">
        <f>IFERROR(__xludf.DUMMYFUNCTION("""COMPUTED_VALUE""")," ")</f>
        <v> </v>
      </c>
      <c r="I41" s="61" t="str">
        <f>IFERROR(__xludf.DUMMYFUNCTION("""COMPUTED_VALUE""")," ")</f>
        <v> </v>
      </c>
      <c r="J41" s="62" t="str">
        <f>IFERROR(__xludf.DUMMYFUNCTION("""COMPUTED_VALUE""")," ")</f>
        <v> </v>
      </c>
      <c r="K41" s="59">
        <f>IFERROR(__xludf.DUMMYFUNCTION("""COMPUTED_VALUE"""),10.0)</f>
        <v>10</v>
      </c>
      <c r="L41" s="63" t="str">
        <f>IFERROR(__xludf.DUMMYFUNCTION("""COMPUTED_VALUE""")," ")</f>
        <v> </v>
      </c>
      <c r="M41" s="73" t="str">
        <f>IFERROR(__xludf.DUMMYFUNCTION("""COMPUTED_VALUE"""),"U: [1/3 W]; W: [1:1, $11.5]")</f>
        <v>U: [1/3 W]; W: [1:1, $11.5]</v>
      </c>
      <c r="N41" s="65">
        <f>IFERROR(__xludf.DUMMYFUNCTION("""COMPUTED_VALUE"""),44317.0)</f>
        <v>44317</v>
      </c>
      <c r="O41" s="66" t="str">
        <f>IFERROR(__xludf.DUMMYFUNCTION("""COMPUTED_VALUE"""),"")</f>
        <v/>
      </c>
      <c r="P41" s="67">
        <f>IFERROR(__xludf.DUMMYFUNCTION("""COMPUTED_VALUE"""),44265.0)</f>
        <v>44265</v>
      </c>
      <c r="Q41" s="68">
        <f>IFERROR(__xludf.DUMMYFUNCTION("""COMPUTED_VALUE"""),300.0)</f>
        <v>300</v>
      </c>
      <c r="R41" s="69" t="str">
        <f>IFERROR(__xludf.DUMMYFUNCTION("""COMPUTED_VALUE"""),"Citigroup, Jefferies")</f>
        <v>Citigroup, Jefferies</v>
      </c>
      <c r="S41" s="64">
        <f>IFERROR(__xludf.DUMMYFUNCTION("""COMPUTED_VALUE"""),44995.0)</f>
        <v>44995</v>
      </c>
      <c r="T41" s="70">
        <f>IFERROR(__xludf.DUMMYFUNCTION("""COMPUTED_VALUE"""),0.04246575342465753)</f>
        <v>0.04246575342</v>
      </c>
      <c r="U41" s="71" t="str">
        <f>IFERROR(__xludf.DUMMYFUNCTION("""COMPUTED_VALUE"""),"https://www.sec.gov/cgi-bin/browse-edgar?CIK=1842329")</f>
        <v>https://www.sec.gov/cgi-bin/browse-edgar?CIK=1842329</v>
      </c>
      <c r="V41" s="72" t="str">
        <f>IFERROR(__xludf.DUMMYFUNCTION("""COMPUTED_VALUE"""),"           Top Tier UW ")</f>
        <v>           Top Tier UW </v>
      </c>
      <c r="W41" s="73"/>
      <c r="X41" s="74"/>
      <c r="Y41" s="75"/>
      <c r="Z41" s="60"/>
      <c r="AA41" s="60"/>
      <c r="AB41" s="60"/>
      <c r="AC41" s="60"/>
      <c r="AD41" s="73"/>
      <c r="AE41" s="73"/>
      <c r="AF41" s="76"/>
      <c r="AG41" s="60" t="str">
        <f>IFERROR(__xludf.DUMMYFUNCTION("""COMPUTED_VALUE"""),"")</f>
        <v/>
      </c>
    </row>
    <row r="42">
      <c r="A42" s="54" t="str">
        <f>IFERROR(__xludf.DUMMYFUNCTION("""COMPUTED_VALUE"""),"AHAC")</f>
        <v>AHAC</v>
      </c>
      <c r="B42" s="55" t="str">
        <f>IFERROR(__xludf.DUMMYFUNCTION("""COMPUTED_VALUE"""),"Alpha Healthcare Acquisition Corp.")</f>
        <v>Alpha Healthcare Acquisition Corp.</v>
      </c>
      <c r="C42" s="56" t="str">
        <f>IFERROR(__xludf.DUMMYFUNCTION("""COMPUTED_VALUE"""),"Definitive Agreement")</f>
        <v>Definitive Agreement</v>
      </c>
      <c r="D42" s="57" t="str">
        <f>IFERROR(__xludf.DUMMYFUNCTION("""COMPUTED_VALUE"""),"Healthcare")</f>
        <v>Healthcare</v>
      </c>
      <c r="E42" s="58" t="str">
        <f>IFERROR(__xludf.DUMMYFUNCTION("""COMPUTED_VALUE"""),"Humacyte [DA: 02/17/21]")</f>
        <v>Humacyte [DA: 02/17/21]</v>
      </c>
      <c r="F42" s="59" t="str">
        <f>IFERROR(__xludf.DUMMYFUNCTION("""COMPUTED_VALUE"""),"Rajiv Shukla (CEO, Constellation Alpha SPAC), Brian Robertson (Founder, CEO of VisiQuate)")</f>
        <v>Rajiv Shukla (CEO, Constellation Alpha SPAC), Brian Robertson (Founder, CEO of VisiQuate)</v>
      </c>
      <c r="G42" s="60">
        <f>IFERROR(__xludf.DUMMYFUNCTION("""COMPUTED_VALUE"""),1.0E8)</f>
        <v>100000000</v>
      </c>
      <c r="H42" s="60">
        <f>IFERROR(__xludf.DUMMYFUNCTION("""COMPUTED_VALUE"""),1.1587245E8)</f>
        <v>115872450</v>
      </c>
      <c r="I42" s="61">
        <f>IFERROR(__xludf.DUMMYFUNCTION("""COMPUTED_VALUE"""),11.19)</f>
        <v>11.19</v>
      </c>
      <c r="J42" s="62">
        <f>IFERROR(__xludf.DUMMYFUNCTION("""COMPUTED_VALUE"""),0.039)</f>
        <v>0.039</v>
      </c>
      <c r="K42" s="59">
        <f>IFERROR(__xludf.DUMMYFUNCTION("""COMPUTED_VALUE"""),12.25)</f>
        <v>12.25</v>
      </c>
      <c r="L42" s="63">
        <f>IFERROR(__xludf.DUMMYFUNCTION("""COMPUTED_VALUE"""),3.08)</f>
        <v>3.08</v>
      </c>
      <c r="M42" s="73" t="str">
        <f>IFERROR(__xludf.DUMMYFUNCTION("""COMPUTED_VALUE"""),"U: [1/2 W]; W: [1:1, $11.5]")</f>
        <v>U: [1/2 W]; W: [1:1, $11.5]</v>
      </c>
      <c r="N42" s="65" t="str">
        <f>IFERROR(__xludf.DUMMYFUNCTION("""COMPUTED_VALUE"""),"")</f>
        <v/>
      </c>
      <c r="O42" s="66">
        <f>IFERROR(__xludf.DUMMYFUNCTION("""COMPUTED_VALUE"""),0.0)</f>
        <v>0</v>
      </c>
      <c r="P42" s="67">
        <f>IFERROR(__xludf.DUMMYFUNCTION("""COMPUTED_VALUE"""),44091.0)</f>
        <v>44091</v>
      </c>
      <c r="Q42" s="68">
        <f>IFERROR(__xludf.DUMMYFUNCTION("""COMPUTED_VALUE"""),100.0)</f>
        <v>100</v>
      </c>
      <c r="R42" s="69" t="str">
        <f>IFERROR(__xludf.DUMMYFUNCTION("""COMPUTED_VALUE"""),"Mizuho, Oppenheimer, Northland, I-Bankers")</f>
        <v>Mizuho, Oppenheimer, Northland, I-Bankers</v>
      </c>
      <c r="S42" s="64">
        <f>IFERROR(__xludf.DUMMYFUNCTION("""COMPUTED_VALUE"""),44821.0)</f>
        <v>44821</v>
      </c>
      <c r="T42" s="70">
        <f>IFERROR(__xludf.DUMMYFUNCTION("""COMPUTED_VALUE"""),0.2808219178082192)</f>
        <v>0.2808219178</v>
      </c>
      <c r="U42" s="71" t="str">
        <f>IFERROR(__xludf.DUMMYFUNCTION("""COMPUTED_VALUE"""),"https://www.sec.gov/cgi-bin/browse-edgar?CIK=1818382")</f>
        <v>https://www.sec.gov/cgi-bin/browse-edgar?CIK=1818382</v>
      </c>
      <c r="V42" s="72" t="str">
        <f>IFERROR(__xludf.DUMMYFUNCTION("""COMPUTED_VALUE"""),"            ")</f>
        <v>            </v>
      </c>
      <c r="W42" s="73">
        <f>IFERROR(__xludf.DUMMYFUNCTION("""COMPUTED_VALUE"""),44244.0)</f>
        <v>44244</v>
      </c>
      <c r="X42" s="79">
        <f>IFERROR(__xludf.DUMMYFUNCTION("""COMPUTED_VALUE"""),5.1)</f>
        <v>5.1</v>
      </c>
      <c r="Y42" s="80" t="str">
        <f>IFERROR(__xludf.DUMMYFUNCTION("""COMPUTED_VALUE"""),"https://www.globenewswire.com/news-release/2021/02/17/2176945/0/en/Humacyte-a-Transformative-Biotechnology-Platform-Company-Capable-of-Manufacturing-Universally-Implantable-Bioengineered-Human-Tissue-at-Commercial-Scale-Going-Public-via-Merger-wit.html")</f>
        <v>https://www.globenewswire.com/news-release/2021/02/17/2176945/0/en/Humacyte-a-Transformative-Biotechnology-Platform-Company-Capable-of-Manufacturing-Universally-Implantable-Bioengineered-Human-Tissue-at-Commercial-Scale-Going-Public-via-Merger-wit.html</v>
      </c>
      <c r="Z42" s="81" t="str">
        <f>IFERROR(__xludf.DUMMYFUNCTION("""COMPUTED_VALUE"""),"https://www.sec.gov/Archives/edgar/data/1818382/000121390021009957/ea135854ex99-2_alphahealth.htm")</f>
        <v>https://www.sec.gov/Archives/edgar/data/1818382/000121390021009957/ea135854ex99-2_alphahealth.htm</v>
      </c>
      <c r="AA42" s="60">
        <f>IFERROR(__xludf.DUMMYFUNCTION("""COMPUTED_VALUE"""),1.75E8)</f>
        <v>175000000</v>
      </c>
      <c r="AB42" s="60">
        <f>IFERROR(__xludf.DUMMYFUNCTION("""COMPUTED_VALUE"""),1.104E9)</f>
        <v>1104000000</v>
      </c>
      <c r="AC42" s="60">
        <f>IFERROR(__xludf.DUMMYFUNCTION("""COMPUTED_VALUE"""),8.49E8)</f>
        <v>849000000</v>
      </c>
      <c r="AD42" s="73"/>
      <c r="AE42" s="73"/>
      <c r="AF42" s="76">
        <f>IFERROR(__xludf.DUMMYFUNCTION("""COMPUTED_VALUE"""),1.104E8)</f>
        <v>110400000</v>
      </c>
      <c r="AG42" s="60">
        <f>IFERROR(__xludf.DUMMYFUNCTION("""COMPUTED_VALUE"""),1.235376E9)</f>
        <v>1235376000</v>
      </c>
    </row>
    <row r="43">
      <c r="A43" s="54" t="str">
        <f>IFERROR(__xludf.DUMMYFUNCTION("""COMPUTED_VALUE"""),"AJAX")</f>
        <v>AJAX</v>
      </c>
      <c r="B43" s="55" t="str">
        <f>IFERROR(__xludf.DUMMYFUNCTION("""COMPUTED_VALUE"""),"Ajax I")</f>
        <v>Ajax I</v>
      </c>
      <c r="C43" s="56" t="str">
        <f>IFERROR(__xludf.DUMMYFUNCTION("""COMPUTED_VALUE"""),"Definitive Agreement")</f>
        <v>Definitive Agreement</v>
      </c>
      <c r="D43" s="57" t="str">
        <f>IFERROR(__xludf.DUMMYFUNCTION("""COMPUTED_VALUE"""),"Software, Fintech, Consumer")</f>
        <v>Software, Fintech, Consumer</v>
      </c>
      <c r="E43" s="58" t="str">
        <f>IFERROR(__xludf.DUMMYFUNCTION("""COMPUTED_VALUE"""),"Cazoo [DA: 03/29/21]")</f>
        <v>Cazoo [DA: 03/29/21]</v>
      </c>
      <c r="F43" s="59" t="str">
        <f>IFERROR(__xludf.DUMMYFUNCTION("""COMPUTED_VALUE"""),"Dan Och (Fmr CEO, Och-Ziff Capital Management Group), Glenn Fuhrman (Co-founder, MSD Capital), Steve Ells (Founder/Fmr Exec Chairman &amp; CEO, Chipotle), Jim McKelvey Jr. (Co-founder, Square), Kevin Systrom (Co-founder/Fmr CEO, Instagram), Anne Wojicki (Co-f"&amp;"ounder/CEO, 23andMe)")</f>
        <v>Dan Och (Fmr CEO, Och-Ziff Capital Management Group), Glenn Fuhrman (Co-founder, MSD Capital), Steve Ells (Founder/Fmr Exec Chairman &amp; CEO, Chipotle), Jim McKelvey Jr. (Co-founder, Square), Kevin Systrom (Co-founder/Fmr CEO, Instagram), Anne Wojicki (Co-founder/CEO, 23andMe)</v>
      </c>
      <c r="G43" s="60">
        <f>IFERROR(__xludf.DUMMYFUNCTION("""COMPUTED_VALUE"""),8.05100267E8)</f>
        <v>805100267</v>
      </c>
      <c r="H43" s="60">
        <f>IFERROR(__xludf.DUMMYFUNCTION("""COMPUTED_VALUE"""),8.227007E8)</f>
        <v>822700700</v>
      </c>
      <c r="I43" s="61">
        <f>IFERROR(__xludf.DUMMYFUNCTION("""COMPUTED_VALUE"""),10.22)</f>
        <v>10.22</v>
      </c>
      <c r="J43" s="62">
        <f>IFERROR(__xludf.DUMMYFUNCTION("""COMPUTED_VALUE"""),0.01088)</f>
        <v>0.01088</v>
      </c>
      <c r="K43" s="59">
        <f>IFERROR(__xludf.DUMMYFUNCTION("""COMPUTED_VALUE"""),10.61)</f>
        <v>10.61</v>
      </c>
      <c r="L43" s="63">
        <f>IFERROR(__xludf.DUMMYFUNCTION("""COMPUTED_VALUE"""),1.76)</f>
        <v>1.76</v>
      </c>
      <c r="M43" s="73" t="str">
        <f>IFERROR(__xludf.DUMMYFUNCTION("""COMPUTED_VALUE"""),"U: [1/4 W]; W: [1:1, $11.5]")</f>
        <v>U: [1/4 W]; W: [1:1, $11.5]</v>
      </c>
      <c r="N43" s="65" t="str">
        <f>IFERROR(__xludf.DUMMYFUNCTION("""COMPUTED_VALUE"""),"")</f>
        <v/>
      </c>
      <c r="O43" s="66">
        <f>IFERROR(__xludf.DUMMYFUNCTION("""COMPUTED_VALUE"""),0.0)</f>
        <v>0</v>
      </c>
      <c r="P43" s="67">
        <f>IFERROR(__xludf.DUMMYFUNCTION("""COMPUTED_VALUE"""),44131.0)</f>
        <v>44131</v>
      </c>
      <c r="Q43" s="68">
        <f>IFERROR(__xludf.DUMMYFUNCTION("""COMPUTED_VALUE"""),804.9909)</f>
        <v>804.9909</v>
      </c>
      <c r="R43" s="69" t="str">
        <f>IFERROR(__xludf.DUMMYFUNCTION("""COMPUTED_VALUE"""),"Goldman Sachs, Citigroup, JP Morgan")</f>
        <v>Goldman Sachs, Citigroup, JP Morgan</v>
      </c>
      <c r="S43" s="64">
        <f>IFERROR(__xludf.DUMMYFUNCTION("""COMPUTED_VALUE"""),44861.0)</f>
        <v>44861</v>
      </c>
      <c r="T43" s="70">
        <f>IFERROR(__xludf.DUMMYFUNCTION("""COMPUTED_VALUE"""),0.22602739726027396)</f>
        <v>0.2260273973</v>
      </c>
      <c r="U43" s="71" t="str">
        <f>IFERROR(__xludf.DUMMYFUNCTION("""COMPUTED_VALUE"""),"https://www.sec.gov/cgi-bin/browse-edgar?CIK=1824963")</f>
        <v>https://www.sec.gov/cgi-bin/browse-edgar?CIK=1824963</v>
      </c>
      <c r="V43" s="72" t="str">
        <f>IFERROR(__xludf.DUMMYFUNCTION("""COMPUTED_VALUE"""),"   $500M+ Trust Optionable    Well-known Sponsor  Top Tier UW ")</f>
        <v>   $500M+ Trust Optionable    Well-known Sponsor  Top Tier UW </v>
      </c>
      <c r="W43" s="73">
        <f>IFERROR(__xludf.DUMMYFUNCTION("""COMPUTED_VALUE"""),44284.0)</f>
        <v>44284</v>
      </c>
      <c r="X43" s="74"/>
      <c r="Y43" s="80" t="str">
        <f>IFERROR(__xludf.DUMMYFUNCTION("""COMPUTED_VALUE"""),"https://www.businesswire.com/news/home/20210328005028/en/Cazoo-to-Become-Listed-on-NYSE-through-7.0-Billion-Business-Combination-with-AJAX-I")</f>
        <v>https://www.businesswire.com/news/home/20210328005028/en/Cazoo-to-Become-Listed-on-NYSE-through-7.0-Billion-Business-Combination-with-AJAX-I</v>
      </c>
      <c r="Z43" s="81" t="str">
        <f>IFERROR(__xludf.DUMMYFUNCTION("""COMPUTED_VALUE"""),"https://www.sec.gov/Archives/edgar/data/1824963/000121390021018099/ea138507ex99-2_ajax1.htm")</f>
        <v>https://www.sec.gov/Archives/edgar/data/1824963/000121390021018099/ea138507ex99-2_ajax1.htm</v>
      </c>
      <c r="AA43" s="60">
        <f>IFERROR(__xludf.DUMMYFUNCTION("""COMPUTED_VALUE"""),8.0E8)</f>
        <v>800000000</v>
      </c>
      <c r="AB43" s="60">
        <f>IFERROR(__xludf.DUMMYFUNCTION("""COMPUTED_VALUE"""),8.075E9)</f>
        <v>8075000000</v>
      </c>
      <c r="AC43" s="60">
        <f>IFERROR(__xludf.DUMMYFUNCTION("""COMPUTED_VALUE"""),7.0E9)</f>
        <v>7000000000</v>
      </c>
      <c r="AD43" s="73"/>
      <c r="AE43" s="73"/>
      <c r="AF43" s="76">
        <f>IFERROR(__xludf.DUMMYFUNCTION("""COMPUTED_VALUE"""),8.075E8)</f>
        <v>807500000</v>
      </c>
      <c r="AG43" s="60">
        <f>IFERROR(__xludf.DUMMYFUNCTION("""COMPUTED_VALUE"""),8.252650000000001E9)</f>
        <v>8252650000</v>
      </c>
    </row>
    <row r="44">
      <c r="A44" s="54" t="str">
        <f>IFERROR(__xludf.DUMMYFUNCTION("""COMPUTED_VALUE"""),"AKIC")</f>
        <v>AKIC</v>
      </c>
      <c r="B44" s="55" t="str">
        <f>IFERROR(__xludf.DUMMYFUNCTION("""COMPUTED_VALUE"""),"Sports Ventures Acquisition Corp.")</f>
        <v>Sports Ventures Acquisition Corp.</v>
      </c>
      <c r="C44" s="56" t="str">
        <f>IFERROR(__xludf.DUMMYFUNCTION("""COMPUTED_VALUE"""),"Searching")</f>
        <v>Searching</v>
      </c>
      <c r="D44" s="57" t="str">
        <f>IFERROR(__xludf.DUMMYFUNCTION("""COMPUTED_VALUE"""),"Sports, media &amp; entertainment (traditional &amp; emerging sports, fillm &amp; television production/ infrastructure)")</f>
        <v>Sports, media &amp; entertainment (traditional &amp; emerging sports, fillm &amp; television production/ infrastructure)</v>
      </c>
      <c r="E44" s="58"/>
      <c r="F44" s="59" t="str">
        <f>IFERROR(__xludf.DUMMYFUNCTION("""COMPUTED_VALUE"""),"Alan Kestenbaum (Minority Owner, Atlanta Falcons)")</f>
        <v>Alan Kestenbaum (Minority Owner, Atlanta Falcons)</v>
      </c>
      <c r="G44" s="60">
        <f>IFERROR(__xludf.DUMMYFUNCTION("""COMPUTED_VALUE"""),2.3E8)</f>
        <v>230000000</v>
      </c>
      <c r="H44" s="60">
        <f>IFERROR(__xludf.DUMMYFUNCTION("""COMPUTED_VALUE"""),2.325778E8)</f>
        <v>232577800</v>
      </c>
      <c r="I44" s="61">
        <f>IFERROR(__xludf.DUMMYFUNCTION("""COMPUTED_VALUE"""),9.83)</f>
        <v>9.83</v>
      </c>
      <c r="J44" s="62">
        <f>IFERROR(__xludf.DUMMYFUNCTION("""COMPUTED_VALUE"""),-0.00907)</f>
        <v>-0.00907</v>
      </c>
      <c r="K44" s="59">
        <f>IFERROR(__xludf.DUMMYFUNCTION("""COMPUTED_VALUE"""),10.13)</f>
        <v>10.13</v>
      </c>
      <c r="L44" s="63">
        <f>IFERROR(__xludf.DUMMYFUNCTION("""COMPUTED_VALUE"""),0.9)</f>
        <v>0.9</v>
      </c>
      <c r="M44" s="73" t="str">
        <f>IFERROR(__xludf.DUMMYFUNCTION("""COMPUTED_VALUE"""),"U: [1/3 W]; W: [1:1, $11.5]")</f>
        <v>U: [1/3 W]; W: [1:1, $11.5]</v>
      </c>
      <c r="N44" s="65" t="str">
        <f>IFERROR(__xludf.DUMMYFUNCTION("""COMPUTED_VALUE"""),"")</f>
        <v/>
      </c>
      <c r="O44" s="66">
        <f>IFERROR(__xludf.DUMMYFUNCTION("""COMPUTED_VALUE"""),0.0)</f>
        <v>0</v>
      </c>
      <c r="P44" s="67">
        <f>IFERROR(__xludf.DUMMYFUNCTION("""COMPUTED_VALUE"""),44201.0)</f>
        <v>44201</v>
      </c>
      <c r="Q44" s="68">
        <f>IFERROR(__xludf.DUMMYFUNCTION("""COMPUTED_VALUE"""),230.0)</f>
        <v>230</v>
      </c>
      <c r="R44" s="69" t="str">
        <f>IFERROR(__xludf.DUMMYFUNCTION("""COMPUTED_VALUE"""),"Deutsche Bank")</f>
        <v>Deutsche Bank</v>
      </c>
      <c r="S44" s="64">
        <f>IFERROR(__xludf.DUMMYFUNCTION("""COMPUTED_VALUE"""),44931.0)</f>
        <v>44931</v>
      </c>
      <c r="T44" s="70">
        <f>IFERROR(__xludf.DUMMYFUNCTION("""COMPUTED_VALUE"""),0.13013698630136986)</f>
        <v>0.1301369863</v>
      </c>
      <c r="U44" s="71" t="str">
        <f>IFERROR(__xludf.DUMMYFUNCTION("""COMPUTED_VALUE"""),"https://www.sec.gov/cgi-bin/browse-edgar?CIK=1826574")</f>
        <v>https://www.sec.gov/cgi-bin/browse-edgar?CIK=1826574</v>
      </c>
      <c r="V44" s="72" t="str">
        <f>IFERROR(__xludf.DUMMYFUNCTION("""COMPUTED_VALUE""")," Trading Below $10 (Common)           ")</f>
        <v> Trading Below $10 (Common)           </v>
      </c>
      <c r="W44" s="73"/>
      <c r="X44" s="74"/>
      <c r="Y44" s="75"/>
      <c r="Z44" s="60"/>
      <c r="AA44" s="60"/>
      <c r="AB44" s="60"/>
      <c r="AC44" s="60"/>
      <c r="AD44" s="73"/>
      <c r="AE44" s="73"/>
      <c r="AF44" s="76"/>
      <c r="AG44" s="60" t="str">
        <f>IFERROR(__xludf.DUMMYFUNCTION("""COMPUTED_VALUE"""),"")</f>
        <v/>
      </c>
    </row>
    <row r="45">
      <c r="A45" s="54" t="str">
        <f>IFERROR(__xludf.DUMMYFUNCTION("""COMPUTED_VALUE"""),"ALAC")</f>
        <v>ALAC</v>
      </c>
      <c r="B45" s="55" t="str">
        <f>IFERROR(__xludf.DUMMYFUNCTION("""COMPUTED_VALUE"""),"Alberton Acquisition Corp")</f>
        <v>Alberton Acquisition Corp</v>
      </c>
      <c r="C45" s="56" t="str">
        <f>IFERROR(__xludf.DUMMYFUNCTION("""COMPUTED_VALUE"""),"Definitive Agreement")</f>
        <v>Definitive Agreement</v>
      </c>
      <c r="D45" s="57"/>
      <c r="E45" s="58" t="str">
        <f>IFERROR(__xludf.DUMMYFUNCTION("""COMPUTED_VALUE"""),"SolarMax Technology [DA: 10/28/20]")</f>
        <v>SolarMax Technology [DA: 10/28/20]</v>
      </c>
      <c r="F45" s="59"/>
      <c r="G45" s="60">
        <f>IFERROR(__xludf.DUMMYFUNCTION("""COMPUTED_VALUE"""),1.5174028E7)</f>
        <v>15174028</v>
      </c>
      <c r="H45" s="60">
        <f>IFERROR(__xludf.DUMMYFUNCTION("""COMPUTED_VALUE"""),5.0536856E7)</f>
        <v>50536856</v>
      </c>
      <c r="I45" s="61">
        <f>IFERROR(__xludf.DUMMYFUNCTION("""COMPUTED_VALUE"""),10.95)</f>
        <v>10.95</v>
      </c>
      <c r="J45" s="62">
        <f>IFERROR(__xludf.DUMMYFUNCTION("""COMPUTED_VALUE"""),-0.00905)</f>
        <v>-0.00905</v>
      </c>
      <c r="K45" s="59">
        <f>IFERROR(__xludf.DUMMYFUNCTION("""COMPUTED_VALUE"""),16.5)</f>
        <v>16.5</v>
      </c>
      <c r="L45" s="63">
        <f>IFERROR(__xludf.DUMMYFUNCTION("""COMPUTED_VALUE"""),0.37)</f>
        <v>0.37</v>
      </c>
      <c r="M45" s="64" t="str">
        <f>IFERROR(__xludf.DUMMYFUNCTION("""COMPUTED_VALUE"""),"U: [1 W, 1 R (1/10 sh)]; W: [2:1, $11.5]")</f>
        <v>U: [1 W, 1 R (1/10 sh)]; W: [2:1, $11.5]</v>
      </c>
      <c r="N45" s="65" t="str">
        <f>IFERROR(__xludf.DUMMYFUNCTION("""COMPUTED_VALUE"""),"")</f>
        <v/>
      </c>
      <c r="O45" s="66">
        <f>IFERROR(__xludf.DUMMYFUNCTION("""COMPUTED_VALUE"""),0.0)</f>
        <v>0</v>
      </c>
      <c r="P45" s="67">
        <f>IFERROR(__xludf.DUMMYFUNCTION("""COMPUTED_VALUE"""),43397.0)</f>
        <v>43397</v>
      </c>
      <c r="Q45" s="68">
        <f>IFERROR(__xludf.DUMMYFUNCTION("""COMPUTED_VALUE"""),100.0)</f>
        <v>100</v>
      </c>
      <c r="R45" s="85" t="str">
        <f>IFERROR(__xludf.DUMMYFUNCTION("""COMPUTED_VALUE"""),"Chardan")</f>
        <v>Chardan</v>
      </c>
      <c r="S45" s="64">
        <f>IFERROR(__xludf.DUMMYFUNCTION("""COMPUTED_VALUE"""),44312.0)</f>
        <v>44312</v>
      </c>
      <c r="T45" s="70">
        <f>IFERROR(__xludf.DUMMYFUNCTION("""COMPUTED_VALUE"""),0.9825136612021858)</f>
        <v>0.9825136612</v>
      </c>
      <c r="U45" s="71" t="str">
        <f>IFERROR(__xludf.DUMMYFUNCTION("""COMPUTED_VALUE"""),"https://www.sec.gov/cgi-bin/browse-edgar?CIK=1748621")</f>
        <v>https://www.sec.gov/cgi-bin/browse-edgar?CIK=1748621</v>
      </c>
      <c r="V45" s="72" t="str">
        <f>IFERROR(__xludf.DUMMYFUNCTION("""COMPUTED_VALUE"""),"      Deadline Approaching Has Rights     ")</f>
        <v>      Deadline Approaching Has Rights     </v>
      </c>
      <c r="W45" s="73">
        <f>IFERROR(__xludf.DUMMYFUNCTION("""COMPUTED_VALUE"""),44132.0)</f>
        <v>44132</v>
      </c>
      <c r="X45" s="79">
        <f>IFERROR(__xludf.DUMMYFUNCTION("""COMPUTED_VALUE"""),24.5)</f>
        <v>24.5</v>
      </c>
      <c r="Y45" s="80" t="str">
        <f>IFERROR(__xludf.DUMMYFUNCTION("""COMPUTED_VALUE"""),"http://www.globenewswire.com/news-release/2020/10/28/2115840/0/en/Alberton-Acquisition-Corp-Announces-Signing-of-Merger-Agreement-with-SolarMax-Technology-Inc.html")</f>
        <v>http://www.globenewswire.com/news-release/2020/10/28/2115840/0/en/Alberton-Acquisition-Corp-Announces-Signing-of-Merger-Agreement-with-SolarMax-Technology-Inc.html</v>
      </c>
      <c r="Z45" s="81" t="str">
        <f>IFERROR(__xludf.DUMMYFUNCTION("""COMPUTED_VALUE"""),"https://www.sec.gov/Archives/edgar/data/1748621/000121390021017109/ea138236ex99-1_alberton.htm")</f>
        <v>https://www.sec.gov/Archives/edgar/data/1748621/000121390021017109/ea138236ex99-1_alberton.htm</v>
      </c>
      <c r="AA45" s="60"/>
      <c r="AB45" s="60"/>
      <c r="AC45" s="60"/>
      <c r="AD45" s="73"/>
      <c r="AE45" s="73"/>
      <c r="AF45" s="76"/>
      <c r="AG45" s="60" t="str">
        <f>IFERROR(__xludf.DUMMYFUNCTION("""COMPUTED_VALUE"""),"")</f>
        <v/>
      </c>
    </row>
    <row r="46">
      <c r="A46" s="54" t="str">
        <f>IFERROR(__xludf.DUMMYFUNCTION("""COMPUTED_VALUE"""),"ALCC")</f>
        <v>ALCC</v>
      </c>
      <c r="B46" s="55" t="str">
        <f>IFERROR(__xludf.DUMMYFUNCTION("""COMPUTED_VALUE"""),"AltC Acquisition Corp.")</f>
        <v>AltC Acquisition Corp.</v>
      </c>
      <c r="C46" s="56" t="str">
        <f>IFERROR(__xludf.DUMMYFUNCTION("""COMPUTED_VALUE"""),"Pre IPO")</f>
        <v>Pre IPO</v>
      </c>
      <c r="D46" s="57" t="str">
        <f>IFERROR(__xludf.DUMMYFUNCTION("""COMPUTED_VALUE"""),"Tech")</f>
        <v>Tech</v>
      </c>
      <c r="E46" s="58"/>
      <c r="F46" s="59" t="str">
        <f>IFERROR(__xludf.DUMMYFUNCTION("""COMPUTED_VALUE"""),"Michael Klein (Serial SPAC Sponsor: Churchill Capital and Former Chairman &amp; Co-CEO of Citi Markets and Banking), Sam Altman (Co-founder &amp; CEO of OpenAI, Chairman of Y Combinator, and Director of Expedia Group and Reddit)")</f>
        <v>Michael Klein (Serial SPAC Sponsor: Churchill Capital and Former Chairman &amp; Co-CEO of Citi Markets and Banking), Sam Altman (Co-founder &amp; CEO of OpenAI, Chairman of Y Combinator, and Director of Expedia Group and Reddit)</v>
      </c>
      <c r="G46" s="60">
        <f>IFERROR(__xludf.DUMMYFUNCTION("""COMPUTED_VALUE"""),1.0E9)</f>
        <v>1000000000</v>
      </c>
      <c r="H46" s="60" t="str">
        <f>IFERROR(__xludf.DUMMYFUNCTION("""COMPUTED_VALUE""")," ")</f>
        <v> </v>
      </c>
      <c r="I46" s="61" t="str">
        <f>IFERROR(__xludf.DUMMYFUNCTION("""COMPUTED_VALUE""")," ")</f>
        <v> </v>
      </c>
      <c r="J46" s="62" t="str">
        <f>IFERROR(__xludf.DUMMYFUNCTION("""COMPUTED_VALUE""")," ")</f>
        <v> </v>
      </c>
      <c r="K46" s="59" t="str">
        <f>IFERROR(__xludf.DUMMYFUNCTION("""COMPUTED_VALUE""")," ")</f>
        <v> </v>
      </c>
      <c r="L46" s="63" t="str">
        <f>IFERROR(__xludf.DUMMYFUNCTION("""COMPUTED_VALUE""")," ")</f>
        <v> </v>
      </c>
      <c r="M46" s="64" t="str">
        <f>IFERROR(__xludf.DUMMYFUNCTION("""COMPUTED_VALUE"""),"U: [1/6 W]; W: [1:1, $11.5]")</f>
        <v>U: [1/6 W]; W: [1:1, $11.5]</v>
      </c>
      <c r="N46" s="65" t="str">
        <f>IFERROR(__xludf.DUMMYFUNCTION("""COMPUTED_VALUE"""),"")</f>
        <v/>
      </c>
      <c r="O46" s="66">
        <f>IFERROR(__xludf.DUMMYFUNCTION("""COMPUTED_VALUE"""),0.0)</f>
        <v>0</v>
      </c>
      <c r="P46" s="67"/>
      <c r="Q46" s="68">
        <f>IFERROR(__xludf.DUMMYFUNCTION("""COMPUTED_VALUE"""),1000.0)</f>
        <v>1000</v>
      </c>
      <c r="R46" s="85" t="str">
        <f>IFERROR(__xludf.DUMMYFUNCTION("""COMPUTED_VALUE"""),"Citigroup, J.P. Morgan, Goldman Sachs &amp; Co. LLC, BofA Securities")</f>
        <v>Citigroup, J.P. Morgan, Goldman Sachs &amp; Co. LLC, BofA Securities</v>
      </c>
      <c r="S46" s="64">
        <f>IFERROR(__xludf.DUMMYFUNCTION("""COMPUTED_VALUE"""),45086.0)</f>
        <v>45086</v>
      </c>
      <c r="T46" s="70" t="str">
        <f>IFERROR(__xludf.DUMMYFUNCTION("""COMPUTED_VALUE"""),"")</f>
        <v/>
      </c>
      <c r="U46" s="71" t="str">
        <f>IFERROR(__xludf.DUMMYFUNCTION("""COMPUTED_VALUE"""),"https://www.sec.gov/cgi-bin/browse-edgar?CIK=1849056")</f>
        <v>https://www.sec.gov/cgi-bin/browse-edgar?CIK=1849056</v>
      </c>
      <c r="V46" s="72" t="str">
        <f>IFERROR(__xludf.DUMMYFUNCTION("""COMPUTED_VALUE"""),"   $500M+ Trust     Well-known Sponsor Serial Sponsor Top Tier UW ")</f>
        <v>   $500M+ Trust     Well-known Sponsor Serial Sponsor Top Tier UW </v>
      </c>
      <c r="W46" s="73"/>
      <c r="X46" s="74"/>
      <c r="Y46" s="75"/>
      <c r="Z46" s="60"/>
      <c r="AA46" s="60"/>
      <c r="AB46" s="60"/>
      <c r="AC46" s="60"/>
      <c r="AD46" s="73"/>
      <c r="AE46" s="73"/>
      <c r="AF46" s="76"/>
      <c r="AG46" s="60"/>
    </row>
    <row r="47">
      <c r="A47" s="54" t="str">
        <f>IFERROR(__xludf.DUMMYFUNCTION("""COMPUTED_VALUE"""),"ALPA")</f>
        <v>ALPA</v>
      </c>
      <c r="B47" s="55" t="str">
        <f>IFERROR(__xludf.DUMMYFUNCTION("""COMPUTED_VALUE"""),"Alpha Healthcare Acquisition Corp. III")</f>
        <v>Alpha Healthcare Acquisition Corp. III</v>
      </c>
      <c r="C47" s="56" t="str">
        <f>IFERROR(__xludf.DUMMYFUNCTION("""COMPUTED_VALUE"""),"Pre IPO")</f>
        <v>Pre IPO</v>
      </c>
      <c r="D47" s="77" t="str">
        <f>IFERROR(__xludf.DUMMYFUNCTION("""COMPUTED_VALUE"""),"Healthcare")</f>
        <v>Healthcare</v>
      </c>
      <c r="E47" s="58"/>
      <c r="F47" s="59" t="str">
        <f>IFERROR(__xludf.DUMMYFUNCTION("""COMPUTED_VALUE"""),"Rajiv Shukla")</f>
        <v>Rajiv Shukla</v>
      </c>
      <c r="G47" s="60">
        <f>IFERROR(__xludf.DUMMYFUNCTION("""COMPUTED_VALUE"""),1.5E8)</f>
        <v>150000000</v>
      </c>
      <c r="H47" s="60" t="str">
        <f>IFERROR(__xludf.DUMMYFUNCTION("""COMPUTED_VALUE""")," ")</f>
        <v> </v>
      </c>
      <c r="I47" s="61" t="str">
        <f>IFERROR(__xludf.DUMMYFUNCTION("""COMPUTED_VALUE""")," ")</f>
        <v> </v>
      </c>
      <c r="J47" s="62" t="str">
        <f>IFERROR(__xludf.DUMMYFUNCTION("""COMPUTED_VALUE""")," ")</f>
        <v> </v>
      </c>
      <c r="K47" s="59" t="str">
        <f>IFERROR(__xludf.DUMMYFUNCTION("""COMPUTED_VALUE""")," ")</f>
        <v> </v>
      </c>
      <c r="L47" s="63" t="str">
        <f>IFERROR(__xludf.DUMMYFUNCTION("""COMPUTED_VALUE""")," ")</f>
        <v> </v>
      </c>
      <c r="M47" s="64" t="str">
        <f>IFERROR(__xludf.DUMMYFUNCTION("""COMPUTED_VALUE"""),"U: [1/4 W]; W: [1:1, $11.5]")</f>
        <v>U: [1/4 W]; W: [1:1, $11.5]</v>
      </c>
      <c r="N47" s="65" t="str">
        <f>IFERROR(__xludf.DUMMYFUNCTION("""COMPUTED_VALUE"""),"")</f>
        <v/>
      </c>
      <c r="O47" s="66">
        <f>IFERROR(__xludf.DUMMYFUNCTION("""COMPUTED_VALUE"""),0.0)</f>
        <v>0</v>
      </c>
      <c r="P47" s="67"/>
      <c r="Q47" s="68">
        <f>IFERROR(__xludf.DUMMYFUNCTION("""COMPUTED_VALUE"""),150.0)</f>
        <v>150</v>
      </c>
      <c r="R47" s="69" t="str">
        <f>IFERROR(__xludf.DUMMYFUNCTION("""COMPUTED_VALUE"""),"BofA Securities, PJT Partners")</f>
        <v>BofA Securities, PJT Partners</v>
      </c>
      <c r="S47" s="64">
        <f>IFERROR(__xludf.DUMMYFUNCTION("""COMPUTED_VALUE"""),45086.0)</f>
        <v>45086</v>
      </c>
      <c r="T47" s="70" t="str">
        <f>IFERROR(__xludf.DUMMYFUNCTION("""COMPUTED_VALUE"""),"")</f>
        <v/>
      </c>
      <c r="U47" s="71" t="str">
        <f>IFERROR(__xludf.DUMMYFUNCTION("""COMPUTED_VALUE"""),"https://www.sec.gov/cgi-bin/browse-edgar?CIK=1842939")</f>
        <v>https://www.sec.gov/cgi-bin/browse-edgar?CIK=1842939</v>
      </c>
      <c r="V47" s="72" t="str">
        <f>IFERROR(__xludf.DUMMYFUNCTION("""COMPUTED_VALUE"""),"          Serial Sponsor Top Tier UW ")</f>
        <v>          Serial Sponsor Top Tier UW </v>
      </c>
      <c r="W47" s="73"/>
      <c r="X47" s="74"/>
      <c r="Y47" s="75"/>
      <c r="Z47" s="60"/>
      <c r="AA47" s="60"/>
      <c r="AB47" s="60"/>
      <c r="AC47" s="60"/>
      <c r="AD47" s="73"/>
      <c r="AE47" s="73"/>
      <c r="AF47" s="76"/>
      <c r="AG47" s="60"/>
    </row>
    <row r="48">
      <c r="A48" s="54" t="str">
        <f>IFERROR(__xludf.DUMMYFUNCTION("""COMPUTED_VALUE"""),"ALTE")</f>
        <v>ALTE</v>
      </c>
      <c r="B48" s="55" t="str">
        <f>IFERROR(__xludf.DUMMYFUNCTION("""COMPUTED_VALUE"""),"Altitude Acquisition Corp. II")</f>
        <v>Altitude Acquisition Corp. II</v>
      </c>
      <c r="C48" s="56" t="str">
        <f>IFERROR(__xludf.DUMMYFUNCTION("""COMPUTED_VALUE"""),"Pre IPO")</f>
        <v>Pre IPO</v>
      </c>
      <c r="D48" s="77" t="str">
        <f>IFERROR(__xludf.DUMMYFUNCTION("""COMPUTED_VALUE"""),"Travel, Travel Tech")</f>
        <v>Travel, Travel Tech</v>
      </c>
      <c r="E48" s="58"/>
      <c r="F48" s="59" t="str">
        <f>IFERROR(__xludf.DUMMYFUNCTION("""COMPUTED_VALUE"""),"Gavin Isaacs (Director, DraftKings)")</f>
        <v>Gavin Isaacs (Director, DraftKings)</v>
      </c>
      <c r="G48" s="60">
        <f>IFERROR(__xludf.DUMMYFUNCTION("""COMPUTED_VALUE"""),2.0E8)</f>
        <v>200000000</v>
      </c>
      <c r="H48" s="60" t="str">
        <f>IFERROR(__xludf.DUMMYFUNCTION("""COMPUTED_VALUE""")," ")</f>
        <v> </v>
      </c>
      <c r="I48" s="61" t="str">
        <f>IFERROR(__xludf.DUMMYFUNCTION("""COMPUTED_VALUE""")," ")</f>
        <v> </v>
      </c>
      <c r="J48" s="62" t="str">
        <f>IFERROR(__xludf.DUMMYFUNCTION("""COMPUTED_VALUE""")," ")</f>
        <v> </v>
      </c>
      <c r="K48" s="59" t="str">
        <f>IFERROR(__xludf.DUMMYFUNCTION("""COMPUTED_VALUE""")," ")</f>
        <v> </v>
      </c>
      <c r="L48" s="63" t="str">
        <f>IFERROR(__xludf.DUMMYFUNCTION("""COMPUTED_VALUE""")," ")</f>
        <v> </v>
      </c>
      <c r="M48" s="64" t="str">
        <f>IFERROR(__xludf.DUMMYFUNCTION("""COMPUTED_VALUE"""),"U: [1/3 W]; W: [1:1, $11.5]")</f>
        <v>U: [1/3 W]; W: [1:1, $11.5]</v>
      </c>
      <c r="N48" s="65" t="str">
        <f>IFERROR(__xludf.DUMMYFUNCTION("""COMPUTED_VALUE"""),"")</f>
        <v/>
      </c>
      <c r="O48" s="66" t="str">
        <f>IFERROR(__xludf.DUMMYFUNCTION("""COMPUTED_VALUE"""),"")</f>
        <v/>
      </c>
      <c r="P48" s="67"/>
      <c r="Q48" s="68">
        <f>IFERROR(__xludf.DUMMYFUNCTION("""COMPUTED_VALUE"""),200.0)</f>
        <v>200</v>
      </c>
      <c r="R48" s="69" t="str">
        <f>IFERROR(__xludf.DUMMYFUNCTION("""COMPUTED_VALUE"""),"Cantor")</f>
        <v>Cantor</v>
      </c>
      <c r="S48" s="64">
        <f>IFERROR(__xludf.DUMMYFUNCTION("""COMPUTED_VALUE"""),45086.0)</f>
        <v>45086</v>
      </c>
      <c r="T48" s="70" t="str">
        <f>IFERROR(__xludf.DUMMYFUNCTION("""COMPUTED_VALUE"""),"")</f>
        <v/>
      </c>
      <c r="U48" s="71" t="str">
        <f>IFERROR(__xludf.DUMMYFUNCTION("""COMPUTED_VALUE"""),"https://www.sec.gov/cgi-bin/browse-edgar?CIK=1842428")</f>
        <v>https://www.sec.gov/cgi-bin/browse-edgar?CIK=1842428</v>
      </c>
      <c r="V48" s="72" t="str">
        <f>IFERROR(__xludf.DUMMYFUNCTION("""COMPUTED_VALUE"""),"         Well-known Sponsor Serial Sponsor  ")</f>
        <v>         Well-known Sponsor Serial Sponsor  </v>
      </c>
      <c r="W48" s="73"/>
      <c r="X48" s="74"/>
      <c r="Y48" s="75"/>
      <c r="Z48" s="60"/>
      <c r="AA48" s="60"/>
      <c r="AB48" s="60"/>
      <c r="AC48" s="60"/>
      <c r="AD48" s="73"/>
      <c r="AE48" s="73"/>
      <c r="AF48" s="76"/>
      <c r="AG48" s="60"/>
    </row>
    <row r="49">
      <c r="A49" s="54" t="str">
        <f>IFERROR(__xludf.DUMMYFUNCTION("""COMPUTED_VALUE"""),"ALTP")</f>
        <v>ALTP</v>
      </c>
      <c r="B49" s="55" t="str">
        <f>IFERROR(__xludf.DUMMYFUNCTION("""COMPUTED_VALUE"""),"Altamont Pharma Acquisition Corp.")</f>
        <v>Altamont Pharma Acquisition Corp.</v>
      </c>
      <c r="C49" s="56" t="str">
        <f>IFERROR(__xludf.DUMMYFUNCTION("""COMPUTED_VALUE"""),"Pre IPO")</f>
        <v>Pre IPO</v>
      </c>
      <c r="D49" s="77" t="str">
        <f>IFERROR(__xludf.DUMMYFUNCTION("""COMPUTED_VALUE"""),"Healthcare, Biopharma, Medical Tech")</f>
        <v>Healthcare, Biopharma, Medical Tech</v>
      </c>
      <c r="E49" s="58"/>
      <c r="F49" s="59"/>
      <c r="G49" s="60">
        <f>IFERROR(__xludf.DUMMYFUNCTION("""COMPUTED_VALUE"""),1.0E8)</f>
        <v>100000000</v>
      </c>
      <c r="H49" s="60" t="str">
        <f>IFERROR(__xludf.DUMMYFUNCTION("""COMPUTED_VALUE""")," ")</f>
        <v> </v>
      </c>
      <c r="I49" s="61" t="str">
        <f>IFERROR(__xludf.DUMMYFUNCTION("""COMPUTED_VALUE""")," ")</f>
        <v> </v>
      </c>
      <c r="J49" s="62" t="str">
        <f>IFERROR(__xludf.DUMMYFUNCTION("""COMPUTED_VALUE""")," ")</f>
        <v> </v>
      </c>
      <c r="K49" s="59" t="str">
        <f>IFERROR(__xludf.DUMMYFUNCTION("""COMPUTED_VALUE""")," ")</f>
        <v> </v>
      </c>
      <c r="L49" s="63" t="str">
        <f>IFERROR(__xludf.DUMMYFUNCTION("""COMPUTED_VALUE""")," ")</f>
        <v> </v>
      </c>
      <c r="M49" s="64" t="str">
        <f>IFERROR(__xludf.DUMMYFUNCTION("""COMPUTED_VALUE"""),"U: [1 W]; W: [2:1, $11.5]")</f>
        <v>U: [1 W]; W: [2:1, $11.5]</v>
      </c>
      <c r="N49" s="65" t="str">
        <f>IFERROR(__xludf.DUMMYFUNCTION("""COMPUTED_VALUE"""),"")</f>
        <v/>
      </c>
      <c r="O49" s="66">
        <f>IFERROR(__xludf.DUMMYFUNCTION("""COMPUTED_VALUE"""),0.0)</f>
        <v>0</v>
      </c>
      <c r="P49" s="67"/>
      <c r="Q49" s="68">
        <f>IFERROR(__xludf.DUMMYFUNCTION("""COMPUTED_VALUE"""),100.0)</f>
        <v>100</v>
      </c>
      <c r="R49" s="85" t="str">
        <f>IFERROR(__xludf.DUMMYFUNCTION("""COMPUTED_VALUE"""),"Chardan")</f>
        <v>Chardan</v>
      </c>
      <c r="S49" s="64">
        <f>IFERROR(__xludf.DUMMYFUNCTION("""COMPUTED_VALUE"""),45086.0)</f>
        <v>45086</v>
      </c>
      <c r="T49" s="70" t="str">
        <f>IFERROR(__xludf.DUMMYFUNCTION("""COMPUTED_VALUE"""),"")</f>
        <v/>
      </c>
      <c r="U49" s="71" t="str">
        <f>IFERROR(__xludf.DUMMYFUNCTION("""COMPUTED_VALUE"""),"https://www.sec.gov/cgi-bin/browse-edgar?CIK=1845136")</f>
        <v>https://www.sec.gov/cgi-bin/browse-edgar?CIK=1845136</v>
      </c>
      <c r="V49" s="72" t="str">
        <f>IFERROR(__xludf.DUMMYFUNCTION("""COMPUTED_VALUE"""),"            ")</f>
        <v>            </v>
      </c>
      <c r="W49" s="73"/>
      <c r="X49" s="74"/>
      <c r="Y49" s="75"/>
      <c r="Z49" s="60"/>
      <c r="AA49" s="60"/>
      <c r="AB49" s="60"/>
      <c r="AC49" s="60"/>
      <c r="AD49" s="73"/>
      <c r="AE49" s="73"/>
      <c r="AF49" s="76"/>
      <c r="AG49" s="60"/>
    </row>
    <row r="50">
      <c r="A50" s="54" t="str">
        <f>IFERROR(__xludf.DUMMYFUNCTION("""COMPUTED_VALUE"""),"ALTT")</f>
        <v>ALTT</v>
      </c>
      <c r="B50" s="55" t="str">
        <f>IFERROR(__xludf.DUMMYFUNCTION("""COMPUTED_VALUE"""),"Altitude Acquisition Corp. III")</f>
        <v>Altitude Acquisition Corp. III</v>
      </c>
      <c r="C50" s="56" t="str">
        <f>IFERROR(__xludf.DUMMYFUNCTION("""COMPUTED_VALUE"""),"Pre IPO")</f>
        <v>Pre IPO</v>
      </c>
      <c r="D50" s="77" t="str">
        <f>IFERROR(__xludf.DUMMYFUNCTION("""COMPUTED_VALUE"""),"Travel, Travel Tech")</f>
        <v>Travel, Travel Tech</v>
      </c>
      <c r="E50" s="58"/>
      <c r="F50" s="59" t="str">
        <f>IFERROR(__xludf.DUMMYFUNCTION("""COMPUTED_VALUE"""),"Gavin Isaacs (Director, DraftKings)")</f>
        <v>Gavin Isaacs (Director, DraftKings)</v>
      </c>
      <c r="G50" s="60">
        <f>IFERROR(__xludf.DUMMYFUNCTION("""COMPUTED_VALUE"""),3.5E8)</f>
        <v>350000000</v>
      </c>
      <c r="H50" s="60" t="str">
        <f>IFERROR(__xludf.DUMMYFUNCTION("""COMPUTED_VALUE""")," ")</f>
        <v> </v>
      </c>
      <c r="I50" s="61" t="str">
        <f>IFERROR(__xludf.DUMMYFUNCTION("""COMPUTED_VALUE""")," ")</f>
        <v> </v>
      </c>
      <c r="J50" s="62" t="str">
        <f>IFERROR(__xludf.DUMMYFUNCTION("""COMPUTED_VALUE""")," ")</f>
        <v> </v>
      </c>
      <c r="K50" s="59" t="str">
        <f>IFERROR(__xludf.DUMMYFUNCTION("""COMPUTED_VALUE""")," ")</f>
        <v> </v>
      </c>
      <c r="L50" s="63" t="str">
        <f>IFERROR(__xludf.DUMMYFUNCTION("""COMPUTED_VALUE""")," ")</f>
        <v> </v>
      </c>
      <c r="M50" s="64" t="str">
        <f>IFERROR(__xludf.DUMMYFUNCTION("""COMPUTED_VALUE"""),"U: [1/3 W]; W: [1:1, $11.5]")</f>
        <v>U: [1/3 W]; W: [1:1, $11.5]</v>
      </c>
      <c r="N50" s="65" t="str">
        <f>IFERROR(__xludf.DUMMYFUNCTION("""COMPUTED_VALUE"""),"")</f>
        <v/>
      </c>
      <c r="O50" s="66" t="str">
        <f>IFERROR(__xludf.DUMMYFUNCTION("""COMPUTED_VALUE"""),"")</f>
        <v/>
      </c>
      <c r="P50" s="67"/>
      <c r="Q50" s="68">
        <f>IFERROR(__xludf.DUMMYFUNCTION("""COMPUTED_VALUE"""),350.0)</f>
        <v>350</v>
      </c>
      <c r="R50" s="69" t="str">
        <f>IFERROR(__xludf.DUMMYFUNCTION("""COMPUTED_VALUE"""),"Cantor")</f>
        <v>Cantor</v>
      </c>
      <c r="S50" s="64">
        <f>IFERROR(__xludf.DUMMYFUNCTION("""COMPUTED_VALUE"""),45086.0)</f>
        <v>45086</v>
      </c>
      <c r="T50" s="70" t="str">
        <f>IFERROR(__xludf.DUMMYFUNCTION("""COMPUTED_VALUE"""),"")</f>
        <v/>
      </c>
      <c r="U50" s="71" t="str">
        <f>IFERROR(__xludf.DUMMYFUNCTION("""COMPUTED_VALUE"""),"https://www.sec.gov/cgi-bin/browse-edgar?CIK=1843079")</f>
        <v>https://www.sec.gov/cgi-bin/browse-edgar?CIK=1843079</v>
      </c>
      <c r="V50" s="72" t="str">
        <f>IFERROR(__xludf.DUMMYFUNCTION("""COMPUTED_VALUE"""),"         Well-known Sponsor Serial Sponsor  ")</f>
        <v>         Well-known Sponsor Serial Sponsor  </v>
      </c>
      <c r="W50" s="73"/>
      <c r="X50" s="74"/>
      <c r="Y50" s="75"/>
      <c r="Z50" s="60"/>
      <c r="AA50" s="60"/>
      <c r="AB50" s="60"/>
      <c r="AC50" s="60"/>
      <c r="AD50" s="73"/>
      <c r="AE50" s="73"/>
      <c r="AF50" s="76"/>
      <c r="AG50" s="60"/>
    </row>
    <row r="51">
      <c r="A51" s="54" t="str">
        <f>IFERROR(__xludf.DUMMYFUNCTION("""COMPUTED_VALUE"""),"ALTU")</f>
        <v>ALTU</v>
      </c>
      <c r="B51" s="55" t="str">
        <f>IFERROR(__xludf.DUMMYFUNCTION("""COMPUTED_VALUE"""),"Altitude Acquisition Corp.")</f>
        <v>Altitude Acquisition Corp.</v>
      </c>
      <c r="C51" s="56" t="str">
        <f>IFERROR(__xludf.DUMMYFUNCTION("""COMPUTED_VALUE"""),"Searching")</f>
        <v>Searching</v>
      </c>
      <c r="D51" s="57" t="str">
        <f>IFERROR(__xludf.DUMMYFUNCTION("""COMPUTED_VALUE"""),"Travel, Travel Tech")</f>
        <v>Travel, Travel Tech</v>
      </c>
      <c r="E51" s="58" t="str">
        <f>IFERROR(__xludf.DUMMYFUNCTION("""COMPUTED_VALUE"""),"[In talks (unconfirmed) with Aerion: Per Bloomberg 2/17/21]")</f>
        <v>[In talks (unconfirmed) with Aerion: Per Bloomberg 2/17/21]</v>
      </c>
      <c r="F51" s="59" t="str">
        <f>IFERROR(__xludf.DUMMYFUNCTION("""COMPUTED_VALUE"""),"Gavin Isaacs (Director, DraftKings)")</f>
        <v>Gavin Isaacs (Director, DraftKings)</v>
      </c>
      <c r="G51" s="60">
        <f>IFERROR(__xludf.DUMMYFUNCTION("""COMPUTED_VALUE"""),3.0E8)</f>
        <v>300000000</v>
      </c>
      <c r="H51" s="60">
        <f>IFERROR(__xludf.DUMMYFUNCTION("""COMPUTED_VALUE"""),3.054E8)</f>
        <v>305400000</v>
      </c>
      <c r="I51" s="61">
        <f>IFERROR(__xludf.DUMMYFUNCTION("""COMPUTED_VALUE"""),10.18)</f>
        <v>10.18</v>
      </c>
      <c r="J51" s="62">
        <f>IFERROR(__xludf.DUMMYFUNCTION("""COMPUTED_VALUE"""),0.00593)</f>
        <v>0.00593</v>
      </c>
      <c r="K51" s="59">
        <f>IFERROR(__xludf.DUMMYFUNCTION("""COMPUTED_VALUE"""),10.87)</f>
        <v>10.87</v>
      </c>
      <c r="L51" s="63">
        <f>IFERROR(__xludf.DUMMYFUNCTION("""COMPUTED_VALUE"""),1.74)</f>
        <v>1.74</v>
      </c>
      <c r="M51" s="64" t="str">
        <f>IFERROR(__xludf.DUMMYFUNCTION("""COMPUTED_VALUE"""),"U: [1/2 W]; W: [1:1, $11.5]")</f>
        <v>U: [1/2 W]; W: [1:1, $11.5]</v>
      </c>
      <c r="N51" s="65" t="str">
        <f>IFERROR(__xludf.DUMMYFUNCTION("""COMPUTED_VALUE"""),"")</f>
        <v/>
      </c>
      <c r="O51" s="66">
        <f>IFERROR(__xludf.DUMMYFUNCTION("""COMPUTED_VALUE"""),0.0)</f>
        <v>0</v>
      </c>
      <c r="P51" s="67">
        <f>IFERROR(__xludf.DUMMYFUNCTION("""COMPUTED_VALUE"""),44174.0)</f>
        <v>44174</v>
      </c>
      <c r="Q51" s="68">
        <f>IFERROR(__xludf.DUMMYFUNCTION("""COMPUTED_VALUE"""),300.0)</f>
        <v>300</v>
      </c>
      <c r="R51" s="69" t="str">
        <f>IFERROR(__xludf.DUMMYFUNCTION("""COMPUTED_VALUE"""),"Cantor")</f>
        <v>Cantor</v>
      </c>
      <c r="S51" s="64">
        <f>IFERROR(__xludf.DUMMYFUNCTION("""COMPUTED_VALUE"""),44721.5)</f>
        <v>44721.5</v>
      </c>
      <c r="T51" s="70">
        <f>IFERROR(__xludf.DUMMYFUNCTION("""COMPUTED_VALUE"""),0.2228310502283105)</f>
        <v>0.2228310502</v>
      </c>
      <c r="U51" s="71" t="str">
        <f>IFERROR(__xludf.DUMMYFUNCTION("""COMPUTED_VALUE"""),"https://www.sec.gov/cgi-bin/browse-edgar?CIK=1822366")</f>
        <v>https://www.sec.gov/cgi-bin/browse-edgar?CIK=1822366</v>
      </c>
      <c r="V51" s="72" t="str">
        <f>IFERROR(__xludf.DUMMYFUNCTION("""COMPUTED_VALUE"""),"     Optionable    Well-known Sponsor Serial Sponsor  ")</f>
        <v>     Optionable    Well-known Sponsor Serial Sponsor  </v>
      </c>
      <c r="W51" s="73"/>
      <c r="X51" s="74"/>
      <c r="Y51" s="75"/>
      <c r="Z51" s="60"/>
      <c r="AA51" s="60"/>
      <c r="AB51" s="60"/>
      <c r="AC51" s="60"/>
      <c r="AD51" s="73"/>
      <c r="AE51" s="73"/>
      <c r="AF51" s="76"/>
      <c r="AG51" s="60" t="str">
        <f>IFERROR(__xludf.DUMMYFUNCTION("""COMPUTED_VALUE"""),"")</f>
        <v/>
      </c>
    </row>
    <row r="52">
      <c r="A52" s="54" t="str">
        <f>IFERROR(__xludf.DUMMYFUNCTION("""COMPUTED_VALUE"""),"ALUS")</f>
        <v>ALUS</v>
      </c>
      <c r="B52" s="55" t="str">
        <f>IFERROR(__xludf.DUMMYFUNCTION("""COMPUTED_VALUE"""),"Alussa Energy Acquisition Corp")</f>
        <v>Alussa Energy Acquisition Corp</v>
      </c>
      <c r="C52" s="56" t="str">
        <f>IFERROR(__xludf.DUMMYFUNCTION("""COMPUTED_VALUE"""),"Definitive Agreement")</f>
        <v>Definitive Agreement</v>
      </c>
      <c r="D52" s="57" t="str">
        <f>IFERROR(__xludf.DUMMYFUNCTION("""COMPUTED_VALUE"""),"Oil and Gas")</f>
        <v>Oil and Gas</v>
      </c>
      <c r="E52" s="58" t="str">
        <f>IFERROR(__xludf.DUMMYFUNCTION("""COMPUTED_VALUE"""),"FREYR [DA: 01/29/21]")</f>
        <v>FREYR [DA: 01/29/21]</v>
      </c>
      <c r="F52" s="59"/>
      <c r="G52" s="60">
        <f>IFERROR(__xludf.DUMMYFUNCTION("""COMPUTED_VALUE"""),2.89642871E8)</f>
        <v>289642871</v>
      </c>
      <c r="H52" s="60">
        <f>IFERROR(__xludf.DUMMYFUNCTION("""COMPUTED_VALUE"""),2.90375E8)</f>
        <v>290375000</v>
      </c>
      <c r="I52" s="61">
        <f>IFERROR(__xludf.DUMMYFUNCTION("""COMPUTED_VALUE"""),10.1)</f>
        <v>10.1</v>
      </c>
      <c r="J52" s="62">
        <f>IFERROR(__xludf.DUMMYFUNCTION("""COMPUTED_VALUE"""),0.00298)</f>
        <v>0.00298</v>
      </c>
      <c r="K52" s="59">
        <f>IFERROR(__xludf.DUMMYFUNCTION("""COMPUTED_VALUE"""),11.17)</f>
        <v>11.17</v>
      </c>
      <c r="L52" s="63">
        <f>IFERROR(__xludf.DUMMYFUNCTION("""COMPUTED_VALUE"""),2.32)</f>
        <v>2.32</v>
      </c>
      <c r="M52" s="64" t="str">
        <f>IFERROR(__xludf.DUMMYFUNCTION("""COMPUTED_VALUE"""),"U: [1/2 W]; W: [1:1, $11.5]")</f>
        <v>U: [1/2 W]; W: [1:1, $11.5]</v>
      </c>
      <c r="N52" s="65" t="str">
        <f>IFERROR(__xludf.DUMMYFUNCTION("""COMPUTED_VALUE"""),"")</f>
        <v/>
      </c>
      <c r="O52" s="66">
        <f>IFERROR(__xludf.DUMMYFUNCTION("""COMPUTED_VALUE"""),0.0)</f>
        <v>0</v>
      </c>
      <c r="P52" s="67">
        <f>IFERROR(__xludf.DUMMYFUNCTION("""COMPUTED_VALUE"""),43795.0)</f>
        <v>43795</v>
      </c>
      <c r="Q52" s="68">
        <f>IFERROR(__xludf.DUMMYFUNCTION("""COMPUTED_VALUE"""),250.0)</f>
        <v>250</v>
      </c>
      <c r="R52" s="85" t="str">
        <f>IFERROR(__xludf.DUMMYFUNCTION("""COMPUTED_VALUE"""),"BTIG")</f>
        <v>BTIG</v>
      </c>
      <c r="S52" s="64">
        <f>IFERROR(__xludf.DUMMYFUNCTION("""COMPUTED_VALUE"""),44525.0)</f>
        <v>44525</v>
      </c>
      <c r="T52" s="70">
        <f>IFERROR(__xludf.DUMMYFUNCTION("""COMPUTED_VALUE"""),0.6863013698630137)</f>
        <v>0.6863013699</v>
      </c>
      <c r="U52" s="71" t="str">
        <f>IFERROR(__xludf.DUMMYFUNCTION("""COMPUTED_VALUE"""),"https://www.sec.gov/cgi-bin/browse-edgar?CIK=1781115")</f>
        <v>https://www.sec.gov/cgi-bin/browse-edgar?CIK=1781115</v>
      </c>
      <c r="V52" s="72" t="str">
        <f>IFERROR(__xludf.DUMMYFUNCTION("""COMPUTED_VALUE"""),"E.V., Sustainability, Energy, Battery            ")</f>
        <v>E.V., Sustainability, Energy, Battery            </v>
      </c>
      <c r="W52" s="73">
        <f>IFERROR(__xludf.DUMMYFUNCTION("""COMPUTED_VALUE"""),44225.0)</f>
        <v>44225</v>
      </c>
      <c r="X52" s="79">
        <f>IFERROR(__xludf.DUMMYFUNCTION("""COMPUTED_VALUE"""),14.333333333333334)</f>
        <v>14.33333333</v>
      </c>
      <c r="Y52" s="80" t="str">
        <f>IFERROR(__xludf.DUMMYFUNCTION("""COMPUTED_VALUE"""),"https://www.businesswire.com/news/home/20210128006233/en/FREYR-a-Developer-of-Clean-Next-Generation-Battery-Cells-to-List-on-NYSE-Through-a-Business-Combination-with-Alussa-Energy-Acquisition-Corp")</f>
        <v>https://www.businesswire.com/news/home/20210128006233/en/FREYR-a-Developer-of-Clean-Next-Generation-Battery-Cells-to-List-on-NYSE-Through-a-Business-Combination-with-Alussa-Energy-Acquisition-Corp</v>
      </c>
      <c r="Z52" s="81" t="str">
        <f>IFERROR(__xludf.DUMMYFUNCTION("""COMPUTED_VALUE"""),"https://www.sec.gov/Archives/edgar/data/1781115/000121390021005199/ea134163ex99-2_alussaenergy.htm")</f>
        <v>https://www.sec.gov/Archives/edgar/data/1781115/000121390021005199/ea134163ex99-2_alussaenergy.htm</v>
      </c>
      <c r="AA52" s="60">
        <f>IFERROR(__xludf.DUMMYFUNCTION("""COMPUTED_VALUE"""),6.0E8)</f>
        <v>600000000</v>
      </c>
      <c r="AB52" s="60">
        <f>IFERROR(__xludf.DUMMYFUNCTION("""COMPUTED_VALUE"""),1.377E9)</f>
        <v>1377000000</v>
      </c>
      <c r="AC52" s="60"/>
      <c r="AD52" s="73"/>
      <c r="AE52" s="73"/>
      <c r="AF52" s="76">
        <f>IFERROR(__xludf.DUMMYFUNCTION("""COMPUTED_VALUE"""),1.377E8)</f>
        <v>137700000</v>
      </c>
      <c r="AG52" s="60">
        <f>IFERROR(__xludf.DUMMYFUNCTION("""COMPUTED_VALUE"""),1.39077E9)</f>
        <v>1390770000</v>
      </c>
    </row>
    <row r="53">
      <c r="A53" s="54" t="str">
        <f>IFERROR(__xludf.DUMMYFUNCTION("""COMPUTED_VALUE"""),"AMAO")</f>
        <v>AMAO</v>
      </c>
      <c r="B53" s="55" t="str">
        <f>IFERROR(__xludf.DUMMYFUNCTION("""COMPUTED_VALUE"""),"American Acquisition Opportunity Inc.")</f>
        <v>American Acquisition Opportunity Inc.</v>
      </c>
      <c r="C53" s="56" t="str">
        <f>IFERROR(__xludf.DUMMYFUNCTION("""COMPUTED_VALUE"""),"Searching (Pre Unit Split)")</f>
        <v>Searching (Pre Unit Split)</v>
      </c>
      <c r="D53" s="77" t="str">
        <f>IFERROR(__xludf.DUMMYFUNCTION("""COMPUTED_VALUE"""),"Land and Resources")</f>
        <v>Land and Resources</v>
      </c>
      <c r="E53" s="58"/>
      <c r="F53" s="59"/>
      <c r="G53" s="60">
        <f>IFERROR(__xludf.DUMMYFUNCTION("""COMPUTED_VALUE"""),1.0606E8)</f>
        <v>106060000</v>
      </c>
      <c r="H53" s="60" t="str">
        <f>IFERROR(__xludf.DUMMYFUNCTION("""COMPUTED_VALUE""")," ")</f>
        <v> </v>
      </c>
      <c r="I53" s="61" t="str">
        <f>IFERROR(__xludf.DUMMYFUNCTION("""COMPUTED_VALUE""")," ")</f>
        <v> </v>
      </c>
      <c r="J53" s="62" t="str">
        <f>IFERROR(__xludf.DUMMYFUNCTION("""COMPUTED_VALUE""")," ")</f>
        <v> </v>
      </c>
      <c r="K53" s="59">
        <f>IFERROR(__xludf.DUMMYFUNCTION("""COMPUTED_VALUE"""),10.065)</f>
        <v>10.065</v>
      </c>
      <c r="L53" s="63" t="str">
        <f>IFERROR(__xludf.DUMMYFUNCTION("""COMPUTED_VALUE""")," ")</f>
        <v> </v>
      </c>
      <c r="M53" s="64" t="str">
        <f>IFERROR(__xludf.DUMMYFUNCTION("""COMPUTED_VALUE"""),"U: [1/2 W]; W: [1:1, $11.5]")</f>
        <v>U: [1/2 W]; W: [1:1, $11.5]</v>
      </c>
      <c r="N53" s="65">
        <f>IFERROR(__xludf.DUMMYFUNCTION("""COMPUTED_VALUE"""),44324.0)</f>
        <v>44324</v>
      </c>
      <c r="O53" s="66" t="str">
        <f>IFERROR(__xludf.DUMMYFUNCTION("""COMPUTED_VALUE"""),"")</f>
        <v/>
      </c>
      <c r="P53" s="67">
        <f>IFERROR(__xludf.DUMMYFUNCTION("""COMPUTED_VALUE"""),44272.0)</f>
        <v>44272</v>
      </c>
      <c r="Q53" s="68">
        <f>IFERROR(__xludf.DUMMYFUNCTION("""COMPUTED_VALUE"""),106.06002)</f>
        <v>106.06002</v>
      </c>
      <c r="R53" s="85" t="str">
        <f>IFERROR(__xludf.DUMMYFUNCTION("""COMPUTED_VALUE"""),"Kingswood Capital Markets")</f>
        <v>Kingswood Capital Markets</v>
      </c>
      <c r="S53" s="64">
        <f>IFERROR(__xludf.DUMMYFUNCTION("""COMPUTED_VALUE"""),44637.0)</f>
        <v>44637</v>
      </c>
      <c r="T53" s="70">
        <f>IFERROR(__xludf.DUMMYFUNCTION("""COMPUTED_VALUE"""),0.06575342465753424)</f>
        <v>0.06575342466</v>
      </c>
      <c r="U53" s="71" t="str">
        <f>IFERROR(__xludf.DUMMYFUNCTION("""COMPUTED_VALUE"""),"https://www.sec.gov/cgi-bin/browse-edgar?CIK=1843656")</f>
        <v>https://www.sec.gov/cgi-bin/browse-edgar?CIK=1843656</v>
      </c>
      <c r="V53" s="72" t="str">
        <f>IFERROR(__xludf.DUMMYFUNCTION("""COMPUTED_VALUE"""),"            ")</f>
        <v>            </v>
      </c>
      <c r="W53" s="73"/>
      <c r="X53" s="74"/>
      <c r="Y53" s="75"/>
      <c r="Z53" s="60"/>
      <c r="AA53" s="60"/>
      <c r="AB53" s="60"/>
      <c r="AC53" s="60"/>
      <c r="AD53" s="73"/>
      <c r="AE53" s="73"/>
      <c r="AF53" s="76"/>
      <c r="AG53" s="60"/>
    </row>
    <row r="54">
      <c r="A54" s="54" t="str">
        <f>IFERROR(__xludf.DUMMYFUNCTION("""COMPUTED_VALUE"""),"AMCI")</f>
        <v>AMCI</v>
      </c>
      <c r="B54" s="55" t="str">
        <f>IFERROR(__xludf.DUMMYFUNCTION("""COMPUTED_VALUE"""),"AMCI Acquisition Corp. II")</f>
        <v>AMCI Acquisition Corp. II</v>
      </c>
      <c r="C54" s="56" t="str">
        <f>IFERROR(__xludf.DUMMYFUNCTION("""COMPUTED_VALUE"""),"Pre IPO")</f>
        <v>Pre IPO</v>
      </c>
      <c r="D54" s="77" t="str">
        <f>IFERROR(__xludf.DUMMYFUNCTION("""COMPUTED_VALUE"""),"Decarbonization, Sustainability")</f>
        <v>Decarbonization, Sustainability</v>
      </c>
      <c r="E54" s="58"/>
      <c r="F54" s="59"/>
      <c r="G54" s="60">
        <f>IFERROR(__xludf.DUMMYFUNCTION("""COMPUTED_VALUE"""),1.75E8)</f>
        <v>175000000</v>
      </c>
      <c r="H54" s="60" t="str">
        <f>IFERROR(__xludf.DUMMYFUNCTION("""COMPUTED_VALUE""")," ")</f>
        <v> </v>
      </c>
      <c r="I54" s="61" t="str">
        <f>IFERROR(__xludf.DUMMYFUNCTION("""COMPUTED_VALUE""")," ")</f>
        <v> </v>
      </c>
      <c r="J54" s="62" t="str">
        <f>IFERROR(__xludf.DUMMYFUNCTION("""COMPUTED_VALUE""")," ")</f>
        <v> </v>
      </c>
      <c r="K54" s="59" t="str">
        <f>IFERROR(__xludf.DUMMYFUNCTION("""COMPUTED_VALUE""")," ")</f>
        <v> </v>
      </c>
      <c r="L54" s="63" t="str">
        <f>IFERROR(__xludf.DUMMYFUNCTION("""COMPUTED_VALUE""")," ")</f>
        <v> </v>
      </c>
      <c r="M54" s="64" t="str">
        <f>IFERROR(__xludf.DUMMYFUNCTION("""COMPUTED_VALUE"""),"U: [1/2 W]; W: [1:1, $11.5]")</f>
        <v>U: [1/2 W]; W: [1:1, $11.5]</v>
      </c>
      <c r="N54" s="65" t="str">
        <f>IFERROR(__xludf.DUMMYFUNCTION("""COMPUTED_VALUE"""),"")</f>
        <v/>
      </c>
      <c r="O54" s="66" t="str">
        <f>IFERROR(__xludf.DUMMYFUNCTION("""COMPUTED_VALUE"""),"")</f>
        <v/>
      </c>
      <c r="P54" s="67"/>
      <c r="Q54" s="68">
        <f>IFERROR(__xludf.DUMMYFUNCTION("""COMPUTED_VALUE"""),175.0)</f>
        <v>175</v>
      </c>
      <c r="R54" s="69" t="str">
        <f>IFERROR(__xludf.DUMMYFUNCTION("""COMPUTED_VALUE"""),"Evercore ISI")</f>
        <v>Evercore ISI</v>
      </c>
      <c r="S54" s="64">
        <f>IFERROR(__xludf.DUMMYFUNCTION("""COMPUTED_VALUE"""),45086.0)</f>
        <v>45086</v>
      </c>
      <c r="T54" s="70" t="str">
        <f>IFERROR(__xludf.DUMMYFUNCTION("""COMPUTED_VALUE"""),"")</f>
        <v/>
      </c>
      <c r="U54" s="71" t="str">
        <f>IFERROR(__xludf.DUMMYFUNCTION("""COMPUTED_VALUE"""),"https://www.sec.gov/cgi-bin/browse-edgar?CIK=1843724")</f>
        <v>https://www.sec.gov/cgi-bin/browse-edgar?CIK=1843724</v>
      </c>
      <c r="V54" s="72" t="str">
        <f>IFERROR(__xludf.DUMMYFUNCTION("""COMPUTED_VALUE"""),"            ")</f>
        <v>            </v>
      </c>
      <c r="W54" s="73"/>
      <c r="X54" s="74"/>
      <c r="Y54" s="75"/>
      <c r="Z54" s="60"/>
      <c r="AA54" s="60"/>
      <c r="AB54" s="60"/>
      <c r="AC54" s="60"/>
      <c r="AD54" s="73"/>
      <c r="AE54" s="73"/>
      <c r="AF54" s="76"/>
      <c r="AG54" s="60"/>
    </row>
    <row r="55">
      <c r="A55" s="54" t="str">
        <f>IFERROR(__xludf.DUMMYFUNCTION("""COMPUTED_VALUE"""),"AMHC")</f>
        <v>AMHC</v>
      </c>
      <c r="B55" s="55" t="str">
        <f>IFERROR(__xludf.DUMMYFUNCTION("""COMPUTED_VALUE"""),"Amplitude Healthcare Acquisition Corp")</f>
        <v>Amplitude Healthcare Acquisition Corp</v>
      </c>
      <c r="C55" s="56" t="str">
        <f>IFERROR(__xludf.DUMMYFUNCTION("""COMPUTED_VALUE"""),"Searching")</f>
        <v>Searching</v>
      </c>
      <c r="D55" s="57" t="str">
        <f>IFERROR(__xludf.DUMMYFUNCTION("""COMPUTED_VALUE"""),"Healthcare")</f>
        <v>Healthcare</v>
      </c>
      <c r="E55" s="58"/>
      <c r="F55" s="59"/>
      <c r="G55" s="60">
        <f>IFERROR(__xludf.DUMMYFUNCTION("""COMPUTED_VALUE"""),1.00339379E8)</f>
        <v>100339379</v>
      </c>
      <c r="H55" s="60">
        <f>IFERROR(__xludf.DUMMYFUNCTION("""COMPUTED_VALUE"""),1.0E8)</f>
        <v>100000000</v>
      </c>
      <c r="I55" s="61">
        <f>IFERROR(__xludf.DUMMYFUNCTION("""COMPUTED_VALUE"""),10.0)</f>
        <v>10</v>
      </c>
      <c r="J55" s="62">
        <f>IFERROR(__xludf.DUMMYFUNCTION("""COMPUTED_VALUE"""),0.00301)</f>
        <v>0.00301</v>
      </c>
      <c r="K55" s="59">
        <f>IFERROR(__xludf.DUMMYFUNCTION("""COMPUTED_VALUE"""),11.31)</f>
        <v>11.31</v>
      </c>
      <c r="L55" s="63">
        <f>IFERROR(__xludf.DUMMYFUNCTION("""COMPUTED_VALUE"""),1.04)</f>
        <v>1.04</v>
      </c>
      <c r="M55" s="64" t="str">
        <f>IFERROR(__xludf.DUMMYFUNCTION("""COMPUTED_VALUE"""),"U: [1/2 W]; W: [1:1, $11.5]")</f>
        <v>U: [1/2 W]; W: [1:1, $11.5]</v>
      </c>
      <c r="N55" s="65" t="str">
        <f>IFERROR(__xludf.DUMMYFUNCTION("""COMPUTED_VALUE"""),"")</f>
        <v/>
      </c>
      <c r="O55" s="66">
        <f>IFERROR(__xludf.DUMMYFUNCTION("""COMPUTED_VALUE"""),0.0)</f>
        <v>0</v>
      </c>
      <c r="P55" s="67">
        <f>IFERROR(__xludf.DUMMYFUNCTION("""COMPUTED_VALUE"""),43788.0)</f>
        <v>43788</v>
      </c>
      <c r="Q55" s="68">
        <f>IFERROR(__xludf.DUMMYFUNCTION("""COMPUTED_VALUE"""),100.0)</f>
        <v>100</v>
      </c>
      <c r="R55" s="69" t="str">
        <f>IFERROR(__xludf.DUMMYFUNCTION("""COMPUTED_VALUE"""),"BMO, SVB Leerink")</f>
        <v>BMO, SVB Leerink</v>
      </c>
      <c r="S55" s="64">
        <f>IFERROR(__xludf.DUMMYFUNCTION("""COMPUTED_VALUE"""),44518.0)</f>
        <v>44518</v>
      </c>
      <c r="T55" s="70">
        <f>IFERROR(__xludf.DUMMYFUNCTION("""COMPUTED_VALUE"""),0.6958904109589041)</f>
        <v>0.695890411</v>
      </c>
      <c r="U55" s="71" t="str">
        <f>IFERROR(__xludf.DUMMYFUNCTION("""COMPUTED_VALUE"""),"https://www.sec.gov/cgi-bin/browse-edgar?CIK=1788028")</f>
        <v>https://www.sec.gov/cgi-bin/browse-edgar?CIK=1788028</v>
      </c>
      <c r="V55" s="72" t="str">
        <f>IFERROR(__xludf.DUMMYFUNCTION("""COMPUTED_VALUE""")," Trading Below $10 (Common)           ")</f>
        <v> Trading Below $10 (Common)           </v>
      </c>
      <c r="W55" s="73"/>
      <c r="X55" s="74"/>
      <c r="Y55" s="75"/>
      <c r="Z55" s="60"/>
      <c r="AA55" s="60"/>
      <c r="AB55" s="60"/>
      <c r="AC55" s="60"/>
      <c r="AD55" s="73"/>
      <c r="AE55" s="73"/>
      <c r="AF55" s="76"/>
      <c r="AG55" s="60" t="str">
        <f>IFERROR(__xludf.DUMMYFUNCTION("""COMPUTED_VALUE"""),"")</f>
        <v/>
      </c>
    </row>
    <row r="56">
      <c r="A56" s="54" t="str">
        <f>IFERROR(__xludf.DUMMYFUNCTION("""COMPUTED_VALUE"""),"AMPI")</f>
        <v>AMPI</v>
      </c>
      <c r="B56" s="55" t="str">
        <f>IFERROR(__xludf.DUMMYFUNCTION("""COMPUTED_VALUE"""),"Advanced Merger Partners, Inc.")</f>
        <v>Advanced Merger Partners, Inc.</v>
      </c>
      <c r="C56" s="56" t="str">
        <f>IFERROR(__xludf.DUMMYFUNCTION("""COMPUTED_VALUE"""),"Searching (Pre Unit Split)")</f>
        <v>Searching (Pre Unit Split)</v>
      </c>
      <c r="D56" s="57"/>
      <c r="E56" s="58"/>
      <c r="F56" s="59" t="str">
        <f>IFERROR(__xludf.DUMMYFUNCTION("""COMPUTED_VALUE"""),"
Alejandro Santo Domingo (Director, Anheuser-Busch Inbev), Bruce Zimmerman (CIO, Dalio Family Office; Fmr CEO/CIO, UTIMCO)")</f>
        <v>
Alejandro Santo Domingo (Director, Anheuser-Busch Inbev), Bruce Zimmerman (CIO, Dalio Family Office; Fmr CEO/CIO, UTIMCO)</v>
      </c>
      <c r="G56" s="60">
        <f>IFERROR(__xludf.DUMMYFUNCTION("""COMPUTED_VALUE"""),2.875E8)</f>
        <v>287500000</v>
      </c>
      <c r="H56" s="60" t="str">
        <f>IFERROR(__xludf.DUMMYFUNCTION("""COMPUTED_VALUE""")," ")</f>
        <v> </v>
      </c>
      <c r="I56" s="61" t="str">
        <f>IFERROR(__xludf.DUMMYFUNCTION("""COMPUTED_VALUE""")," ")</f>
        <v> </v>
      </c>
      <c r="J56" s="62" t="str">
        <f>IFERROR(__xludf.DUMMYFUNCTION("""COMPUTED_VALUE""")," ")</f>
        <v> </v>
      </c>
      <c r="K56" s="59">
        <f>IFERROR(__xludf.DUMMYFUNCTION("""COMPUTED_VALUE"""),10.06)</f>
        <v>10.06</v>
      </c>
      <c r="L56" s="63" t="str">
        <f>IFERROR(__xludf.DUMMYFUNCTION("""COMPUTED_VALUE""")," ")</f>
        <v> </v>
      </c>
      <c r="M56" s="64" t="str">
        <f>IFERROR(__xludf.DUMMYFUNCTION("""COMPUTED_VALUE"""),"U: [1/6 W]; W: [1:1, $11.5]")</f>
        <v>U: [1/6 W]; W: [1:1, $11.5]</v>
      </c>
      <c r="N56" s="65">
        <f>IFERROR(__xludf.DUMMYFUNCTION("""COMPUTED_VALUE"""),44308.0)</f>
        <v>44308</v>
      </c>
      <c r="O56" s="66" t="str">
        <f>IFERROR(__xludf.DUMMYFUNCTION("""COMPUTED_VALUE"""),"")</f>
        <v/>
      </c>
      <c r="P56" s="67">
        <f>IFERROR(__xludf.DUMMYFUNCTION("""COMPUTED_VALUE"""),44256.0)</f>
        <v>44256</v>
      </c>
      <c r="Q56" s="68">
        <f>IFERROR(__xludf.DUMMYFUNCTION("""COMPUTED_VALUE"""),287.5)</f>
        <v>287.5</v>
      </c>
      <c r="R56" s="85" t="str">
        <f>IFERROR(__xludf.DUMMYFUNCTION("""COMPUTED_VALUE"""),"Goldman Sachs &amp; Co. LLC")</f>
        <v>Goldman Sachs &amp; Co. LLC</v>
      </c>
      <c r="S56" s="64">
        <f>IFERROR(__xludf.DUMMYFUNCTION("""COMPUTED_VALUE"""),44986.0)</f>
        <v>44986</v>
      </c>
      <c r="T56" s="70">
        <f>IFERROR(__xludf.DUMMYFUNCTION("""COMPUTED_VALUE"""),0.0547945205479452)</f>
        <v>0.05479452055</v>
      </c>
      <c r="U56" s="71" t="str">
        <f>IFERROR(__xludf.DUMMYFUNCTION("""COMPUTED_VALUE"""),"https://www.sec.gov/cgi-bin/browse-edgar?CIK=1835636")</f>
        <v>https://www.sec.gov/cgi-bin/browse-edgar?CIK=1835636</v>
      </c>
      <c r="V56" s="72" t="str">
        <f>IFERROR(__xludf.DUMMYFUNCTION("""COMPUTED_VALUE"""),"           Top Tier UW ")</f>
        <v>           Top Tier UW </v>
      </c>
      <c r="W56" s="73"/>
      <c r="X56" s="74"/>
      <c r="Y56" s="75"/>
      <c r="Z56" s="60"/>
      <c r="AA56" s="60"/>
      <c r="AB56" s="60"/>
      <c r="AC56" s="60"/>
      <c r="AD56" s="73"/>
      <c r="AE56" s="73"/>
      <c r="AF56" s="76"/>
      <c r="AG56" s="60" t="str">
        <f>IFERROR(__xludf.DUMMYFUNCTION("""COMPUTED_VALUE"""),"")</f>
        <v/>
      </c>
    </row>
    <row r="57">
      <c r="A57" s="54" t="str">
        <f>IFERROR(__xludf.DUMMYFUNCTION("""COMPUTED_VALUE"""),"ANAC")</f>
        <v>ANAC</v>
      </c>
      <c r="B57" s="55" t="str">
        <f>IFERROR(__xludf.DUMMYFUNCTION("""COMPUTED_VALUE"""),"Arctos NorthStar Acquisition Corp.")</f>
        <v>Arctos NorthStar Acquisition Corp.</v>
      </c>
      <c r="C57" s="56" t="str">
        <f>IFERROR(__xludf.DUMMYFUNCTION("""COMPUTED_VALUE"""),"Searching (Pre Unit Split)")</f>
        <v>Searching (Pre Unit Split)</v>
      </c>
      <c r="D57" s="57" t="str">
        <f>IFERROR(__xludf.DUMMYFUNCTION("""COMPUTED_VALUE"""),"Sports, Media &amp; Entertainment")</f>
        <v>Sports, Media &amp; Entertainment</v>
      </c>
      <c r="E57" s="58"/>
      <c r="F57" s="59" t="str">
        <f>IFERROR(__xludf.DUMMYFUNCTION("""COMPUTED_VALUE"""),"David “Doc” O’Connor (Fmr CEO, The Madison Square Garden Company), Theo Epstein (Fmr General Manager, Boston Red Sox; Fmr President Baseball Ops, Chicago Cubs), Xavier Gutierrez (CEO, Arizona Coyotes Hockey Club), Jared Smith (Fmr President/Global Chairma"&amp;"n, Ticketmaster Entertainment)")</f>
        <v>David “Doc” O’Connor (Fmr CEO, The Madison Square Garden Company), Theo Epstein (Fmr General Manager, Boston Red Sox; Fmr President Baseball Ops, Chicago Cubs), Xavier Gutierrez (CEO, Arizona Coyotes Hockey Club), Jared Smith (Fmr President/Global Chairman, Ticketmaster Entertainment)</v>
      </c>
      <c r="G57" s="60">
        <f>IFERROR(__xludf.DUMMYFUNCTION("""COMPUTED_VALUE"""),3.1625E8)</f>
        <v>316250000</v>
      </c>
      <c r="H57" s="60" t="str">
        <f>IFERROR(__xludf.DUMMYFUNCTION("""COMPUTED_VALUE""")," ")</f>
        <v> </v>
      </c>
      <c r="I57" s="61" t="str">
        <f>IFERROR(__xludf.DUMMYFUNCTION("""COMPUTED_VALUE""")," ")</f>
        <v> </v>
      </c>
      <c r="J57" s="62" t="str">
        <f>IFERROR(__xludf.DUMMYFUNCTION("""COMPUTED_VALUE""")," ")</f>
        <v> </v>
      </c>
      <c r="K57" s="59">
        <f>IFERROR(__xludf.DUMMYFUNCTION("""COMPUTED_VALUE"""),10.06)</f>
        <v>10.06</v>
      </c>
      <c r="L57" s="63" t="str">
        <f>IFERROR(__xludf.DUMMYFUNCTION("""COMPUTED_VALUE""")," ")</f>
        <v> </v>
      </c>
      <c r="M57" s="64" t="str">
        <f>IFERROR(__xludf.DUMMYFUNCTION("""COMPUTED_VALUE"""),"U: [1/4 W]; W: [1:1, $11.5]")</f>
        <v>U: [1/4 W]; W: [1:1, $11.5]</v>
      </c>
      <c r="N57" s="65">
        <f>IFERROR(__xludf.DUMMYFUNCTION("""COMPUTED_VALUE"""),44301.0)</f>
        <v>44301</v>
      </c>
      <c r="O57" s="66" t="str">
        <f>IFERROR(__xludf.DUMMYFUNCTION("""COMPUTED_VALUE"""),"")</f>
        <v/>
      </c>
      <c r="P57" s="67">
        <f>IFERROR(__xludf.DUMMYFUNCTION("""COMPUTED_VALUE"""),44249.0)</f>
        <v>44249</v>
      </c>
      <c r="Q57" s="68">
        <f>IFERROR(__xludf.DUMMYFUNCTION("""COMPUTED_VALUE"""),316.25)</f>
        <v>316.25</v>
      </c>
      <c r="R57" s="69" t="str">
        <f>IFERROR(__xludf.DUMMYFUNCTION("""COMPUTED_VALUE"""),"Citigroup")</f>
        <v>Citigroup</v>
      </c>
      <c r="S57" s="64">
        <f>IFERROR(__xludf.DUMMYFUNCTION("""COMPUTED_VALUE"""),44979.0)</f>
        <v>44979</v>
      </c>
      <c r="T57" s="70">
        <f>IFERROR(__xludf.DUMMYFUNCTION("""COMPUTED_VALUE"""),0.06438356164383562)</f>
        <v>0.06438356164</v>
      </c>
      <c r="U57" s="71" t="str">
        <f>IFERROR(__xludf.DUMMYFUNCTION("""COMPUTED_VALUE"""),"https://www.sec.gov/cgi-bin/browse-edgar?CIK=1829558")</f>
        <v>https://www.sec.gov/cgi-bin/browse-edgar?CIK=1829558</v>
      </c>
      <c r="V57" s="72" t="str">
        <f>IFERROR(__xludf.DUMMYFUNCTION("""COMPUTED_VALUE"""),"           Top Tier UW ")</f>
        <v>           Top Tier UW </v>
      </c>
      <c r="W57" s="73"/>
      <c r="X57" s="74"/>
      <c r="Y57" s="75"/>
      <c r="Z57" s="60"/>
      <c r="AA57" s="60"/>
      <c r="AB57" s="60"/>
      <c r="AC57" s="60"/>
      <c r="AD57" s="73"/>
      <c r="AE57" s="73"/>
      <c r="AF57" s="76"/>
      <c r="AG57" s="60"/>
    </row>
    <row r="58">
      <c r="A58" s="54" t="str">
        <f>IFERROR(__xludf.DUMMYFUNCTION("""COMPUTED_VALUE"""),"ANDA")</f>
        <v>ANDA</v>
      </c>
      <c r="B58" s="55" t="str">
        <f>IFERROR(__xludf.DUMMYFUNCTION("""COMPUTED_VALUE"""),"Andina Acquisition Corp III")</f>
        <v>Andina Acquisition Corp III</v>
      </c>
      <c r="C58" s="56" t="str">
        <f>IFERROR(__xludf.DUMMYFUNCTION("""COMPUTED_VALUE"""),"Definitive Agreement")</f>
        <v>Definitive Agreement</v>
      </c>
      <c r="D58" s="57" t="str">
        <f>IFERROR(__xludf.DUMMYFUNCTION("""COMPUTED_VALUE"""),"Americas")</f>
        <v>Americas</v>
      </c>
      <c r="E58" s="58" t="str">
        <f>IFERROR(__xludf.DUMMYFUNCTION("""COMPUTED_VALUE"""),"Stryve Foods [DA: 01/28/21]")</f>
        <v>Stryve Foods [DA: 01/28/21]</v>
      </c>
      <c r="F58" s="59" t="str">
        <f>IFERROR(__xludf.DUMMYFUNCTION("""COMPUTED_VALUE"""),"Julio Torres (Andina I, II)")</f>
        <v>Julio Torres (Andina I, II)</v>
      </c>
      <c r="G58" s="60">
        <f>IFERROR(__xludf.DUMMYFUNCTION("""COMPUTED_VALUE"""),1.3545503E7)</f>
        <v>13545503</v>
      </c>
      <c r="H58" s="60">
        <f>IFERROR(__xludf.DUMMYFUNCTION("""COMPUTED_VALUE"""),4.5186892E7)</f>
        <v>45186892</v>
      </c>
      <c r="I58" s="61">
        <f>IFERROR(__xludf.DUMMYFUNCTION("""COMPUTED_VALUE"""),10.23)</f>
        <v>10.23</v>
      </c>
      <c r="J58" s="62">
        <f>IFERROR(__xludf.DUMMYFUNCTION("""COMPUTED_VALUE"""),-0.00583)</f>
        <v>-0.00583</v>
      </c>
      <c r="K58" s="59">
        <f>IFERROR(__xludf.DUMMYFUNCTION("""COMPUTED_VALUE"""),13.6)</f>
        <v>13.6</v>
      </c>
      <c r="L58" s="63">
        <f>IFERROR(__xludf.DUMMYFUNCTION("""COMPUTED_VALUE"""),1.01)</f>
        <v>1.01</v>
      </c>
      <c r="M58" s="64" t="str">
        <f>IFERROR(__xludf.DUMMYFUNCTION("""COMPUTED_VALUE"""),"U: [1 W, 1 R (1/10 sh)]; W: [1:1, $11.5]")</f>
        <v>U: [1 W, 1 R (1/10 sh)]; W: [1:1, $11.5]</v>
      </c>
      <c r="N58" s="65" t="str">
        <f>IFERROR(__xludf.DUMMYFUNCTION("""COMPUTED_VALUE"""),"")</f>
        <v/>
      </c>
      <c r="O58" s="66">
        <f>IFERROR(__xludf.DUMMYFUNCTION("""COMPUTED_VALUE"""),0.0)</f>
        <v>0</v>
      </c>
      <c r="P58" s="67">
        <f>IFERROR(__xludf.DUMMYFUNCTION("""COMPUTED_VALUE"""),43493.0)</f>
        <v>43493</v>
      </c>
      <c r="Q58" s="68">
        <f>IFERROR(__xludf.DUMMYFUNCTION("""COMPUTED_VALUE"""),108.0)</f>
        <v>108</v>
      </c>
      <c r="R58" s="69" t="str">
        <f>IFERROR(__xludf.DUMMYFUNCTION("""COMPUTED_VALUE"""),"Cowen, Craig-Hallum Capital Group
")</f>
        <v>Cowen, Craig-Hallum Capital Group
</v>
      </c>
      <c r="S58" s="64">
        <f>IFERROR(__xludf.DUMMYFUNCTION("""COMPUTED_VALUE"""),44316.0)</f>
        <v>44316</v>
      </c>
      <c r="T58" s="70">
        <f>IFERROR(__xludf.DUMMYFUNCTION("""COMPUTED_VALUE"""),0.9756986634264885)</f>
        <v>0.9756986634</v>
      </c>
      <c r="U58" s="71" t="str">
        <f>IFERROR(__xludf.DUMMYFUNCTION("""COMPUTED_VALUE"""),"https://www.sec.gov/cgi-bin/browse-edgar?CIK=1691936")</f>
        <v>https://www.sec.gov/cgi-bin/browse-edgar?CIK=1691936</v>
      </c>
      <c r="V58" s="72" t="str">
        <f>IFERROR(__xludf.DUMMYFUNCTION("""COMPUTED_VALUE"""),"Cannabis      Deadline Approaching Has Rights   Serial Sponsor  ")</f>
        <v>Cannabis      Deadline Approaching Has Rights   Serial Sponsor  </v>
      </c>
      <c r="W58" s="73">
        <f>IFERROR(__xludf.DUMMYFUNCTION("""COMPUTED_VALUE"""),44224.0)</f>
        <v>44224</v>
      </c>
      <c r="X58" s="79">
        <f>IFERROR(__xludf.DUMMYFUNCTION("""COMPUTED_VALUE"""),24.366666666666667)</f>
        <v>24.36666667</v>
      </c>
      <c r="Y58" s="80" t="str">
        <f>IFERROR(__xludf.DUMMYFUNCTION("""COMPUTED_VALUE"""),"https://www.globenewswire.com/news-release/2021/01/28/2165680/0/en/Stryve-Foods-LLC-an-Emerging-Healthy-Snacking-Platform-to-list-on-NASDAQ-through-business-combination-with-Andina-Acquisition-Corp-III.html")</f>
        <v>https://www.globenewswire.com/news-release/2021/01/28/2165680/0/en/Stryve-Foods-LLC-an-Emerging-Healthy-Snacking-Platform-to-list-on-NASDAQ-through-business-combination-with-Andina-Acquisition-Corp-III.html</v>
      </c>
      <c r="Z58" s="81" t="str">
        <f>IFERROR(__xludf.DUMMYFUNCTION("""COMPUTED_VALUE"""),"https://www.sec.gov/Archives/edgar/data/1691936/000149315221001957/ex99-1.htm")</f>
        <v>https://www.sec.gov/Archives/edgar/data/1691936/000149315221001957/ex99-1.htm</v>
      </c>
      <c r="AA58" s="60">
        <f>IFERROR(__xludf.DUMMYFUNCTION("""COMPUTED_VALUE"""),5.3E7)</f>
        <v>53000000</v>
      </c>
      <c r="AB58" s="60">
        <f>IFERROR(__xludf.DUMMYFUNCTION("""COMPUTED_VALUE"""),2.14E8)</f>
        <v>214000000</v>
      </c>
      <c r="AC58" s="60">
        <f>IFERROR(__xludf.DUMMYFUNCTION("""COMPUTED_VALUE"""),1.7E8)</f>
        <v>170000000</v>
      </c>
      <c r="AD58" s="73"/>
      <c r="AE58" s="73"/>
      <c r="AF58" s="76">
        <f>IFERROR(__xludf.DUMMYFUNCTION("""COMPUTED_VALUE"""),2.14E7)</f>
        <v>21400000</v>
      </c>
      <c r="AG58" s="60">
        <f>IFERROR(__xludf.DUMMYFUNCTION("""COMPUTED_VALUE"""),2.18922E8)</f>
        <v>218922000</v>
      </c>
    </row>
    <row r="59">
      <c r="A59" s="54" t="str">
        <f>IFERROR(__xludf.DUMMYFUNCTION("""COMPUTED_VALUE"""),"ANZU")</f>
        <v>ANZU</v>
      </c>
      <c r="B59" s="55" t="str">
        <f>IFERROR(__xludf.DUMMYFUNCTION("""COMPUTED_VALUE"""),"Anzu Special Acquisition Corp I")</f>
        <v>Anzu Special Acquisition Corp I</v>
      </c>
      <c r="C59" s="56" t="str">
        <f>IFERROR(__xludf.DUMMYFUNCTION("""COMPUTED_VALUE"""),"Searching (Pre Unit Split)")</f>
        <v>Searching (Pre Unit Split)</v>
      </c>
      <c r="D59" s="77" t="str">
        <f>IFERROR(__xludf.DUMMYFUNCTION("""COMPUTED_VALUE"""),"Industrial Tech")</f>
        <v>Industrial Tech</v>
      </c>
      <c r="E59" s="58"/>
      <c r="F59" s="59"/>
      <c r="G59" s="60">
        <f>IFERROR(__xludf.DUMMYFUNCTION("""COMPUTED_VALUE"""),4.2E8)</f>
        <v>420000000</v>
      </c>
      <c r="H59" s="60" t="str">
        <f>IFERROR(__xludf.DUMMYFUNCTION("""COMPUTED_VALUE""")," ")</f>
        <v> </v>
      </c>
      <c r="I59" s="61" t="str">
        <f>IFERROR(__xludf.DUMMYFUNCTION("""COMPUTED_VALUE""")," ")</f>
        <v> </v>
      </c>
      <c r="J59" s="62" t="str">
        <f>IFERROR(__xludf.DUMMYFUNCTION("""COMPUTED_VALUE""")," ")</f>
        <v> </v>
      </c>
      <c r="K59" s="59">
        <f>IFERROR(__xludf.DUMMYFUNCTION("""COMPUTED_VALUE"""),10.08)</f>
        <v>10.08</v>
      </c>
      <c r="L59" s="63" t="str">
        <f>IFERROR(__xludf.DUMMYFUNCTION("""COMPUTED_VALUE""")," ")</f>
        <v> </v>
      </c>
      <c r="M59" s="64" t="str">
        <f>IFERROR(__xludf.DUMMYFUNCTION("""COMPUTED_VALUE"""),"U: [1/3 W]; W: [1:1, $11.5]")</f>
        <v>U: [1/3 W]; W: [1:1, $11.5]</v>
      </c>
      <c r="N59" s="65">
        <f>IFERROR(__xludf.DUMMYFUNCTION("""COMPUTED_VALUE"""),44308.0)</f>
        <v>44308</v>
      </c>
      <c r="O59" s="66" t="str">
        <f>IFERROR(__xludf.DUMMYFUNCTION("""COMPUTED_VALUE"""),"")</f>
        <v/>
      </c>
      <c r="P59" s="67">
        <f>IFERROR(__xludf.DUMMYFUNCTION("""COMPUTED_VALUE"""),44256.0)</f>
        <v>44256</v>
      </c>
      <c r="Q59" s="68">
        <f>IFERROR(__xludf.DUMMYFUNCTION("""COMPUTED_VALUE"""),420.0)</f>
        <v>420</v>
      </c>
      <c r="R59" s="69" t="str">
        <f>IFERROR(__xludf.DUMMYFUNCTION("""COMPUTED_VALUE"""),"BofA Securities, Barclays")</f>
        <v>BofA Securities, Barclays</v>
      </c>
      <c r="S59" s="64">
        <f>IFERROR(__xludf.DUMMYFUNCTION("""COMPUTED_VALUE"""),44986.0)</f>
        <v>44986</v>
      </c>
      <c r="T59" s="70">
        <f>IFERROR(__xludf.DUMMYFUNCTION("""COMPUTED_VALUE"""),0.0547945205479452)</f>
        <v>0.05479452055</v>
      </c>
      <c r="U59" s="71" t="str">
        <f>IFERROR(__xludf.DUMMYFUNCTION("""COMPUTED_VALUE"""),"https://www.sec.gov/cgi-bin/browse-edgar?CIK=1840877")</f>
        <v>https://www.sec.gov/cgi-bin/browse-edgar?CIK=1840877</v>
      </c>
      <c r="V59" s="72" t="str">
        <f>IFERROR(__xludf.DUMMYFUNCTION("""COMPUTED_VALUE"""),"          Top Tier UW Top Tier UW ")</f>
        <v>          Top Tier UW Top Tier UW </v>
      </c>
      <c r="W59" s="73"/>
      <c r="X59" s="74"/>
      <c r="Y59" s="75"/>
      <c r="Z59" s="60"/>
      <c r="AA59" s="60"/>
      <c r="AB59" s="60"/>
      <c r="AC59" s="60"/>
      <c r="AD59" s="73"/>
      <c r="AE59" s="73"/>
      <c r="AF59" s="76"/>
      <c r="AG59" s="60"/>
    </row>
    <row r="60">
      <c r="A60" s="54" t="str">
        <f>IFERROR(__xludf.DUMMYFUNCTION("""COMPUTED_VALUE"""),"AONE")</f>
        <v>AONE</v>
      </c>
      <c r="B60" s="55" t="str">
        <f>IFERROR(__xludf.DUMMYFUNCTION("""COMPUTED_VALUE"""),"one")</f>
        <v>one</v>
      </c>
      <c r="C60" s="56" t="str">
        <f>IFERROR(__xludf.DUMMYFUNCTION("""COMPUTED_VALUE"""),"Definitive Agreement")</f>
        <v>Definitive Agreement</v>
      </c>
      <c r="D60" s="57" t="str">
        <f>IFERROR(__xludf.DUMMYFUNCTION("""COMPUTED_VALUE"""),"Tech")</f>
        <v>Tech</v>
      </c>
      <c r="E60" s="58" t="str">
        <f>IFERROR(__xludf.DUMMYFUNCTION("""COMPUTED_VALUE"""),"Markforged [DA: 02/24/21]")</f>
        <v>Markforged [DA: 02/24/21]</v>
      </c>
      <c r="F60" s="59" t="str">
        <f>IFERROR(__xludf.DUMMYFUNCTION("""COMPUTED_VALUE"""),"Kevin E. Hartz (co-founder of Xoom--acq PayPal-- and Eventbrite); Spike Lipkin (Founded of Newfront Insurance)")</f>
        <v>Kevin E. Hartz (co-founder of Xoom--acq PayPal-- and Eventbrite); Spike Lipkin (Founded of Newfront Insurance)</v>
      </c>
      <c r="G60" s="60">
        <f>IFERROR(__xludf.DUMMYFUNCTION("""COMPUTED_VALUE"""),2.15009978E8)</f>
        <v>215009978</v>
      </c>
      <c r="H60" s="60">
        <f>IFERROR(__xludf.DUMMYFUNCTION("""COMPUTED_VALUE"""),2.31125E8)</f>
        <v>231125000</v>
      </c>
      <c r="I60" s="61">
        <f>IFERROR(__xludf.DUMMYFUNCTION("""COMPUTED_VALUE"""),10.75)</f>
        <v>10.75</v>
      </c>
      <c r="J60" s="62">
        <f>IFERROR(__xludf.DUMMYFUNCTION("""COMPUTED_VALUE"""),-0.00922)</f>
        <v>-0.00922</v>
      </c>
      <c r="K60" s="59">
        <f>IFERROR(__xludf.DUMMYFUNCTION("""COMPUTED_VALUE"""),11.33)</f>
        <v>11.33</v>
      </c>
      <c r="L60" s="63">
        <f>IFERROR(__xludf.DUMMYFUNCTION("""COMPUTED_VALUE"""),2.69)</f>
        <v>2.69</v>
      </c>
      <c r="M60" s="64" t="str">
        <f>IFERROR(__xludf.DUMMYFUNCTION("""COMPUTED_VALUE"""),"U: [1/4 W]; W: [1:1, $11.5]")</f>
        <v>U: [1/4 W]; W: [1:1, $11.5]</v>
      </c>
      <c r="N60" s="65" t="str">
        <f>IFERROR(__xludf.DUMMYFUNCTION("""COMPUTED_VALUE"""),"")</f>
        <v/>
      </c>
      <c r="O60" s="66">
        <f>IFERROR(__xludf.DUMMYFUNCTION("""COMPUTED_VALUE"""),0.0)</f>
        <v>0</v>
      </c>
      <c r="P60" s="67">
        <f>IFERROR(__xludf.DUMMYFUNCTION("""COMPUTED_VALUE"""),44060.0)</f>
        <v>44060</v>
      </c>
      <c r="Q60" s="68">
        <f>IFERROR(__xludf.DUMMYFUNCTION("""COMPUTED_VALUE"""),215.0)</f>
        <v>215</v>
      </c>
      <c r="R60" s="69" t="str">
        <f>IFERROR(__xludf.DUMMYFUNCTION("""COMPUTED_VALUE"""),"Goldman Sachs")</f>
        <v>Goldman Sachs</v>
      </c>
      <c r="S60" s="64">
        <f>IFERROR(__xludf.DUMMYFUNCTION("""COMPUTED_VALUE"""),44790.0)</f>
        <v>44790</v>
      </c>
      <c r="T60" s="70">
        <f>IFERROR(__xludf.DUMMYFUNCTION("""COMPUTED_VALUE"""),0.3232876712328767)</f>
        <v>0.3232876712</v>
      </c>
      <c r="U60" s="71" t="str">
        <f>IFERROR(__xludf.DUMMYFUNCTION("""COMPUTED_VALUE"""),"https://www.sec.gov/cgi-bin/browse-edgar?CIK=1816613")</f>
        <v>https://www.sec.gov/cgi-bin/browse-edgar?CIK=1816613</v>
      </c>
      <c r="V60" s="72" t="str">
        <f>IFERROR(__xludf.DUMMYFUNCTION("""COMPUTED_VALUE"""),"Venture Capital     Optionable    Well-known Sponsor  Top Tier UW ")</f>
        <v>Venture Capital     Optionable    Well-known Sponsor  Top Tier UW </v>
      </c>
      <c r="W60" s="73">
        <f>IFERROR(__xludf.DUMMYFUNCTION("""COMPUTED_VALUE"""),44251.0)</f>
        <v>44251</v>
      </c>
      <c r="X60" s="79">
        <f>IFERROR(__xludf.DUMMYFUNCTION("""COMPUTED_VALUE"""),6.366666666666666)</f>
        <v>6.366666667</v>
      </c>
      <c r="Y60" s="80" t="str">
        <f>IFERROR(__xludf.DUMMYFUNCTION("""COMPUTED_VALUE"""),"https://www.businesswire.com/news/home/20210224005529/en/Markforged-Leader-in-Additive-Manufacturing-to-Become-Publicly-Listed-Through-Merger-With-one")</f>
        <v>https://www.businesswire.com/news/home/20210224005529/en/Markforged-Leader-in-Additive-Manufacturing-to-Become-Publicly-Listed-Through-Merger-With-one</v>
      </c>
      <c r="Z60" s="81" t="str">
        <f>IFERROR(__xludf.DUMMYFUNCTION("""COMPUTED_VALUE"""),"https://www.sec.gov/Archives/edgar/data/1816613/000110465921027194/tm217725d1_ex99-2.htm")</f>
        <v>https://www.sec.gov/Archives/edgar/data/1816613/000110465921027194/tm217725d1_ex99-2.htm</v>
      </c>
      <c r="AA60" s="60">
        <f>IFERROR(__xludf.DUMMYFUNCTION("""COMPUTED_VALUE"""),2.1E8)</f>
        <v>210000000</v>
      </c>
      <c r="AB60" s="60">
        <f>IFERROR(__xludf.DUMMYFUNCTION("""COMPUTED_VALUE"""),2.062E9)</f>
        <v>2062000000</v>
      </c>
      <c r="AC60" s="60">
        <f>IFERROR(__xludf.DUMMYFUNCTION("""COMPUTED_VALUE"""),1.664E9)</f>
        <v>1664000000</v>
      </c>
      <c r="AD60" s="73"/>
      <c r="AE60" s="73"/>
      <c r="AF60" s="76">
        <f>IFERROR(__xludf.DUMMYFUNCTION("""COMPUTED_VALUE"""),2.062E8)</f>
        <v>206200000</v>
      </c>
      <c r="AG60" s="60">
        <f>IFERROR(__xludf.DUMMYFUNCTION("""COMPUTED_VALUE"""),2.21665E9)</f>
        <v>2216650000</v>
      </c>
    </row>
    <row r="61">
      <c r="A61" s="54" t="str">
        <f>IFERROR(__xludf.DUMMYFUNCTION("""COMPUTED_VALUE"""),"APAC")</f>
        <v>APAC</v>
      </c>
      <c r="B61" s="55" t="str">
        <f>IFERROR(__xludf.DUMMYFUNCTION("""COMPUTED_VALUE"""),"StoneBridge Acquisition Corp.")</f>
        <v>StoneBridge Acquisition Corp.</v>
      </c>
      <c r="C61" s="56" t="str">
        <f>IFERROR(__xludf.DUMMYFUNCTION("""COMPUTED_VALUE"""),"Pre IPO")</f>
        <v>Pre IPO</v>
      </c>
      <c r="D61" s="77" t="str">
        <f>IFERROR(__xludf.DUMMYFUNCTION("""COMPUTED_VALUE"""),"Consumer Tech, communications, software, SaaS, Fintech or media ")</f>
        <v>Consumer Tech, communications, software, SaaS, Fintech or media </v>
      </c>
      <c r="E61" s="58"/>
      <c r="F61" s="59"/>
      <c r="G61" s="60">
        <f>IFERROR(__xludf.DUMMYFUNCTION("""COMPUTED_VALUE"""),2.0E8)</f>
        <v>200000000</v>
      </c>
      <c r="H61" s="60" t="str">
        <f>IFERROR(__xludf.DUMMYFUNCTION("""COMPUTED_VALUE""")," ")</f>
        <v> </v>
      </c>
      <c r="I61" s="61" t="str">
        <f>IFERROR(__xludf.DUMMYFUNCTION("""COMPUTED_VALUE""")," ")</f>
        <v> </v>
      </c>
      <c r="J61" s="62" t="str">
        <f>IFERROR(__xludf.DUMMYFUNCTION("""COMPUTED_VALUE""")," ")</f>
        <v> </v>
      </c>
      <c r="K61" s="59" t="str">
        <f>IFERROR(__xludf.DUMMYFUNCTION("""COMPUTED_VALUE""")," ")</f>
        <v> </v>
      </c>
      <c r="L61" s="63" t="str">
        <f>IFERROR(__xludf.DUMMYFUNCTION("""COMPUTED_VALUE""")," ")</f>
        <v> </v>
      </c>
      <c r="M61" s="64" t="str">
        <f>IFERROR(__xludf.DUMMYFUNCTION("""COMPUTED_VALUE"""),"U: [1/2 W]; W: [1:1, $11.5]")</f>
        <v>U: [1/2 W]; W: [1:1, $11.5]</v>
      </c>
      <c r="N61" s="65" t="str">
        <f>IFERROR(__xludf.DUMMYFUNCTION("""COMPUTED_VALUE"""),"")</f>
        <v/>
      </c>
      <c r="O61" s="66">
        <f>IFERROR(__xludf.DUMMYFUNCTION("""COMPUTED_VALUE"""),0.0)</f>
        <v>0</v>
      </c>
      <c r="P61" s="67"/>
      <c r="Q61" s="68">
        <f>IFERROR(__xludf.DUMMYFUNCTION("""COMPUTED_VALUE"""),200.0)</f>
        <v>200</v>
      </c>
      <c r="R61" s="69" t="str">
        <f>IFERROR(__xludf.DUMMYFUNCTION("""COMPUTED_VALUE"""),"Cantor")</f>
        <v>Cantor</v>
      </c>
      <c r="S61" s="64">
        <f>IFERROR(__xludf.DUMMYFUNCTION("""COMPUTED_VALUE"""),45086.0)</f>
        <v>45086</v>
      </c>
      <c r="T61" s="70" t="str">
        <f>IFERROR(__xludf.DUMMYFUNCTION("""COMPUTED_VALUE"""),"")</f>
        <v/>
      </c>
      <c r="U61" s="71" t="str">
        <f>IFERROR(__xludf.DUMMYFUNCTION("""COMPUTED_VALUE"""),"https://www.sec.gov/cgi-bin/browse-edgar?CIK=1844981")</f>
        <v>https://www.sec.gov/cgi-bin/browse-edgar?CIK=1844981</v>
      </c>
      <c r="V61" s="72" t="str">
        <f>IFERROR(__xludf.DUMMYFUNCTION("""COMPUTED_VALUE"""),"            ")</f>
        <v>            </v>
      </c>
      <c r="W61" s="73"/>
      <c r="X61" s="74"/>
      <c r="Y61" s="75"/>
      <c r="Z61" s="60"/>
      <c r="AA61" s="60"/>
      <c r="AB61" s="60"/>
      <c r="AC61" s="60"/>
      <c r="AD61" s="73"/>
      <c r="AE61" s="73"/>
      <c r="AF61" s="76"/>
      <c r="AG61" s="60"/>
    </row>
    <row r="62">
      <c r="A62" s="54" t="str">
        <f>IFERROR(__xludf.DUMMYFUNCTION("""COMPUTED_VALUE"""),"APCP")</f>
        <v>APCP</v>
      </c>
      <c r="B62" s="55" t="str">
        <f>IFERROR(__xludf.DUMMYFUNCTION("""COMPUTED_VALUE"""),"Aperture Acquisition Corp")</f>
        <v>Aperture Acquisition Corp</v>
      </c>
      <c r="C62" s="56" t="str">
        <f>IFERROR(__xludf.DUMMYFUNCTION("""COMPUTED_VALUE"""),"Pre IPO")</f>
        <v>Pre IPO</v>
      </c>
      <c r="D62" s="57" t="str">
        <f>IFERROR(__xludf.DUMMYFUNCTION("""COMPUTED_VALUE"""),"Financial Services, Fintech, Real Estate services, Tech, Software")</f>
        <v>Financial Services, Fintech, Real Estate services, Tech, Software</v>
      </c>
      <c r="E62" s="58"/>
      <c r="F62" s="59" t="str">
        <f>IFERROR(__xludf.DUMMYFUNCTION("""COMPUTED_VALUE"""),"Hans Morris (Fmr MD, General Atlantic; Fmr COO of Citigroup investment banking; Director, Payoneer)")</f>
        <v>Hans Morris (Fmr MD, General Atlantic; Fmr COO of Citigroup investment banking; Director, Payoneer)</v>
      </c>
      <c r="G62" s="60">
        <f>IFERROR(__xludf.DUMMYFUNCTION("""COMPUTED_VALUE"""),3.5E8)</f>
        <v>350000000</v>
      </c>
      <c r="H62" s="60" t="str">
        <f>IFERROR(__xludf.DUMMYFUNCTION("""COMPUTED_VALUE""")," ")</f>
        <v> </v>
      </c>
      <c r="I62" s="61" t="str">
        <f>IFERROR(__xludf.DUMMYFUNCTION("""COMPUTED_VALUE""")," ")</f>
        <v> </v>
      </c>
      <c r="J62" s="62" t="str">
        <f>IFERROR(__xludf.DUMMYFUNCTION("""COMPUTED_VALUE""")," ")</f>
        <v> </v>
      </c>
      <c r="K62" s="59" t="str">
        <f>IFERROR(__xludf.DUMMYFUNCTION("""COMPUTED_VALUE""")," ")</f>
        <v> </v>
      </c>
      <c r="L62" s="63" t="str">
        <f>IFERROR(__xludf.DUMMYFUNCTION("""COMPUTED_VALUE""")," ")</f>
        <v> </v>
      </c>
      <c r="M62" s="64" t="str">
        <f>IFERROR(__xludf.DUMMYFUNCTION("""COMPUTED_VALUE"""),"U: [1/5 W]; W: [1:1, $11.5]")</f>
        <v>U: [1/5 W]; W: [1:1, $11.5]</v>
      </c>
      <c r="N62" s="65" t="str">
        <f>IFERROR(__xludf.DUMMYFUNCTION("""COMPUTED_VALUE"""),"")</f>
        <v/>
      </c>
      <c r="O62" s="66">
        <f>IFERROR(__xludf.DUMMYFUNCTION("""COMPUTED_VALUE"""),0.0)</f>
        <v>0</v>
      </c>
      <c r="P62" s="67"/>
      <c r="Q62" s="68">
        <f>IFERROR(__xludf.DUMMYFUNCTION("""COMPUTED_VALUE"""),350.0)</f>
        <v>350</v>
      </c>
      <c r="R62" s="69" t="str">
        <f>IFERROR(__xludf.DUMMYFUNCTION("""COMPUTED_VALUE"""),"Goldman Sachs &amp; Co. LLC, Morgan Stanley, Credit Suisse")</f>
        <v>Goldman Sachs &amp; Co. LLC, Morgan Stanley, Credit Suisse</v>
      </c>
      <c r="S62" s="64">
        <f>IFERROR(__xludf.DUMMYFUNCTION("""COMPUTED_VALUE"""),45086.0)</f>
        <v>45086</v>
      </c>
      <c r="T62" s="70" t="str">
        <f>IFERROR(__xludf.DUMMYFUNCTION("""COMPUTED_VALUE"""),"")</f>
        <v/>
      </c>
      <c r="U62" s="71" t="str">
        <f>IFERROR(__xludf.DUMMYFUNCTION("""COMPUTED_VALUE"""),"https://www.sec.gov/cgi-bin/browse-edgar?CIK=1846847")</f>
        <v>https://www.sec.gov/cgi-bin/browse-edgar?CIK=1846847</v>
      </c>
      <c r="V62" s="72" t="str">
        <f>IFERROR(__xludf.DUMMYFUNCTION("""COMPUTED_VALUE"""),"           Top Tier UW ")</f>
        <v>           Top Tier UW </v>
      </c>
      <c r="W62" s="73"/>
      <c r="X62" s="74"/>
      <c r="Y62" s="75"/>
      <c r="Z62" s="60"/>
      <c r="AA62" s="60"/>
      <c r="AB62" s="60"/>
      <c r="AC62" s="60"/>
      <c r="AD62" s="73"/>
      <c r="AE62" s="73"/>
      <c r="AF62" s="76"/>
      <c r="AG62" s="60"/>
    </row>
    <row r="63">
      <c r="A63" s="54" t="str">
        <f>IFERROR(__xludf.DUMMYFUNCTION("""COMPUTED_VALUE"""),"APGB")</f>
        <v>APGB</v>
      </c>
      <c r="B63" s="55" t="str">
        <f>IFERROR(__xludf.DUMMYFUNCTION("""COMPUTED_VALUE"""),"Apollo Strategic Growth Capital II")</f>
        <v>Apollo Strategic Growth Capital II</v>
      </c>
      <c r="C63" s="56" t="str">
        <f>IFERROR(__xludf.DUMMYFUNCTION("""COMPUTED_VALUE"""),"Searching")</f>
        <v>Searching</v>
      </c>
      <c r="D63" s="57"/>
      <c r="E63" s="58"/>
      <c r="F63" s="59" t="str">
        <f>IFERROR(__xludf.DUMMYFUNCTION("""COMPUTED_VALUE"""),"Sanjay Patel (Chairman Int'l &amp; SP of PE, Apollo), Scott Kleinman (Co-President, Apollo Global Mgmt)")</f>
        <v>Sanjay Patel (Chairman Int'l &amp; SP of PE, Apollo), Scott Kleinman (Co-President, Apollo Global Mgmt)</v>
      </c>
      <c r="G63" s="60">
        <f>IFERROR(__xludf.DUMMYFUNCTION("""COMPUTED_VALUE"""),6.9E8)</f>
        <v>690000000</v>
      </c>
      <c r="H63" s="60"/>
      <c r="I63" s="61">
        <f>IFERROR(__xludf.DUMMYFUNCTION("""COMPUTED_VALUE"""),9.85)</f>
        <v>9.85</v>
      </c>
      <c r="J63" s="62"/>
      <c r="K63" s="59">
        <f>IFERROR(__xludf.DUMMYFUNCTION("""COMPUTED_VALUE"""),10.08)</f>
        <v>10.08</v>
      </c>
      <c r="L63" s="63">
        <f>IFERROR(__xludf.DUMMYFUNCTION("""COMPUTED_VALUE"""),1.19)</f>
        <v>1.19</v>
      </c>
      <c r="M63" s="64" t="str">
        <f>IFERROR(__xludf.DUMMYFUNCTION("""COMPUTED_VALUE"""),"U: [1/5 W]; W: [1:1, $11.5]")</f>
        <v>U: [1/5 W]; W: [1:1, $11.5]</v>
      </c>
      <c r="N63" s="65">
        <f>IFERROR(__xludf.DUMMYFUNCTION("""COMPUTED_VALUE"""),44291.0)</f>
        <v>44291</v>
      </c>
      <c r="O63" s="66">
        <f>IFERROR(__xludf.DUMMYFUNCTION("""COMPUTED_VALUE"""),0.0)</f>
        <v>0</v>
      </c>
      <c r="P63" s="67">
        <f>IFERROR(__xludf.DUMMYFUNCTION("""COMPUTED_VALUE"""),44236.0)</f>
        <v>44236</v>
      </c>
      <c r="Q63" s="68">
        <f>IFERROR(__xludf.DUMMYFUNCTION("""COMPUTED_VALUE"""),690.0)</f>
        <v>690</v>
      </c>
      <c r="R63" s="69" t="str">
        <f>IFERROR(__xludf.DUMMYFUNCTION("""COMPUTED_VALUE"""),"Deutsche Bank Securities, Barclays, Credit Suisse")</f>
        <v>Deutsche Bank Securities, Barclays, Credit Suisse</v>
      </c>
      <c r="S63" s="64">
        <f>IFERROR(__xludf.DUMMYFUNCTION("""COMPUTED_VALUE"""),44966.0)</f>
        <v>44966</v>
      </c>
      <c r="T63" s="70">
        <f>IFERROR(__xludf.DUMMYFUNCTION("""COMPUTED_VALUE"""),0.0821917808219178)</f>
        <v>0.08219178082</v>
      </c>
      <c r="U63" s="71" t="str">
        <f>IFERROR(__xludf.DUMMYFUNCTION("""COMPUTED_VALUE"""),"https://www.sec.gov/cgi-bin/browse-edgar?CIK=1838337")</f>
        <v>https://www.sec.gov/cgi-bin/browse-edgar?CIK=1838337</v>
      </c>
      <c r="V63" s="72" t="str">
        <f>IFERROR(__xludf.DUMMYFUNCTION("""COMPUTED_VALUE""")," Trading Below $10 (Common)  $500M+ Trust     Well-known Sponsor Serial Sponsor  ")</f>
        <v> Trading Below $10 (Common)  $500M+ Trust     Well-known Sponsor Serial Sponsor  </v>
      </c>
      <c r="W63" s="73"/>
      <c r="X63" s="74"/>
      <c r="Y63" s="75"/>
      <c r="Z63" s="60"/>
      <c r="AA63" s="60"/>
      <c r="AB63" s="60"/>
      <c r="AC63" s="60"/>
      <c r="AD63" s="73"/>
      <c r="AE63" s="73"/>
      <c r="AF63" s="76"/>
      <c r="AG63" s="60" t="str">
        <f>IFERROR(__xludf.DUMMYFUNCTION("""COMPUTED_VALUE"""),"")</f>
        <v/>
      </c>
    </row>
    <row r="64">
      <c r="A64" s="54" t="str">
        <f>IFERROR(__xludf.DUMMYFUNCTION("""COMPUTED_VALUE"""),"APGC")</f>
        <v>APGC</v>
      </c>
      <c r="B64" s="55" t="str">
        <f>IFERROR(__xludf.DUMMYFUNCTION("""COMPUTED_VALUE"""),"Apollo Strategic Growth Capital III")</f>
        <v>Apollo Strategic Growth Capital III</v>
      </c>
      <c r="C64" s="56" t="str">
        <f>IFERROR(__xludf.DUMMYFUNCTION("""COMPUTED_VALUE"""),"Pre IPO")</f>
        <v>Pre IPO</v>
      </c>
      <c r="D64" s="57"/>
      <c r="E64" s="58"/>
      <c r="F64" s="59" t="str">
        <f>IFERROR(__xludf.DUMMYFUNCTION("""COMPUTED_VALUE"""),"Sanjay Patel  (Chairman International and Senior Partner of Private Equity of Apollo), Laurie Ann Goldman (Former CEO of Spanx)")</f>
        <v>Sanjay Patel  (Chairman International and Senior Partner of Private Equity of Apollo), Laurie Ann Goldman (Former CEO of Spanx)</v>
      </c>
      <c r="G64" s="60">
        <f>IFERROR(__xludf.DUMMYFUNCTION("""COMPUTED_VALUE"""),4.0E8)</f>
        <v>400000000</v>
      </c>
      <c r="H64" s="60" t="str">
        <f>IFERROR(__xludf.DUMMYFUNCTION("""COMPUTED_VALUE""")," ")</f>
        <v> </v>
      </c>
      <c r="I64" s="61" t="str">
        <f>IFERROR(__xludf.DUMMYFUNCTION("""COMPUTED_VALUE""")," ")</f>
        <v> </v>
      </c>
      <c r="J64" s="62" t="str">
        <f>IFERROR(__xludf.DUMMYFUNCTION("""COMPUTED_VALUE""")," ")</f>
        <v> </v>
      </c>
      <c r="K64" s="59" t="str">
        <f>IFERROR(__xludf.DUMMYFUNCTION("""COMPUTED_VALUE""")," ")</f>
        <v> </v>
      </c>
      <c r="L64" s="63" t="str">
        <f>IFERROR(__xludf.DUMMYFUNCTION("""COMPUTED_VALUE""")," ")</f>
        <v> </v>
      </c>
      <c r="M64" s="64" t="str">
        <f>IFERROR(__xludf.DUMMYFUNCTION("""COMPUTED_VALUE"""),"U: [1/4 W]; W: [1:1, $11.5]")</f>
        <v>U: [1/4 W]; W: [1:1, $11.5]</v>
      </c>
      <c r="N64" s="65" t="str">
        <f>IFERROR(__xludf.DUMMYFUNCTION("""COMPUTED_VALUE"""),"")</f>
        <v/>
      </c>
      <c r="O64" s="66">
        <f>IFERROR(__xludf.DUMMYFUNCTION("""COMPUTED_VALUE"""),0.0)</f>
        <v>0</v>
      </c>
      <c r="P64" s="67"/>
      <c r="Q64" s="68">
        <f>IFERROR(__xludf.DUMMYFUNCTION("""COMPUTED_VALUE"""),400.0)</f>
        <v>400</v>
      </c>
      <c r="R64" s="69" t="str">
        <f>IFERROR(__xludf.DUMMYFUNCTION("""COMPUTED_VALUE"""),"Credit Suisse, Apollo Global Securities, BofA Securities, Goldman Sachs &amp; Co. LLC, RBC Capital Markets, Siebert Williams Shank, American Veterans Group")</f>
        <v>Credit Suisse, Apollo Global Securities, BofA Securities, Goldman Sachs &amp; Co. LLC, RBC Capital Markets, Siebert Williams Shank, American Veterans Group</v>
      </c>
      <c r="S64" s="64">
        <f>IFERROR(__xludf.DUMMYFUNCTION("""COMPUTED_VALUE"""),45086.0)</f>
        <v>45086</v>
      </c>
      <c r="T64" s="70" t="str">
        <f>IFERROR(__xludf.DUMMYFUNCTION("""COMPUTED_VALUE"""),"")</f>
        <v/>
      </c>
      <c r="U64" s="71" t="str">
        <f>IFERROR(__xludf.DUMMYFUNCTION("""COMPUTED_VALUE"""),"https://www.sec.gov/cgi-bin/browse-edgar?CIK=1840632")</f>
        <v>https://www.sec.gov/cgi-bin/browse-edgar?CIK=1840632</v>
      </c>
      <c r="V64" s="72" t="str">
        <f>IFERROR(__xludf.DUMMYFUNCTION("""COMPUTED_VALUE"""),"         Well-known Sponsor Serial Sponsor Top Tier UW ")</f>
        <v>         Well-known Sponsor Serial Sponsor Top Tier UW </v>
      </c>
      <c r="W64" s="73"/>
      <c r="X64" s="74"/>
      <c r="Y64" s="75"/>
      <c r="Z64" s="60"/>
      <c r="AA64" s="60"/>
      <c r="AB64" s="60"/>
      <c r="AC64" s="60"/>
      <c r="AD64" s="73"/>
      <c r="AE64" s="73"/>
      <c r="AF64" s="76"/>
      <c r="AG64" s="60"/>
    </row>
    <row r="65">
      <c r="A65" s="54" t="str">
        <f>IFERROR(__xludf.DUMMYFUNCTION("""COMPUTED_VALUE"""),"APSG")</f>
        <v>APSG</v>
      </c>
      <c r="B65" s="55" t="str">
        <f>IFERROR(__xludf.DUMMYFUNCTION("""COMPUTED_VALUE"""),"Apollo Strategic Growth Capital")</f>
        <v>Apollo Strategic Growth Capital</v>
      </c>
      <c r="C65" s="56" t="str">
        <f>IFERROR(__xludf.DUMMYFUNCTION("""COMPUTED_VALUE"""),"Searching")</f>
        <v>Searching</v>
      </c>
      <c r="D65" s="57"/>
      <c r="E65" s="58"/>
      <c r="F65" s="59" t="str">
        <f>IFERROR(__xludf.DUMMYFUNCTION("""COMPUTED_VALUE"""),"Sanjay Patel (Chairman Int'l &amp; SP of PE, Apollo), Scott Kleinman (Co-President, Apollo Global Mgmt), Jennifer Fleiss (Co-founder,Rent the Runway; Fmr CEO, Jetblack) Mitch Garber (Fmr CEO, Optimal Payments; Director, Rackspace &amp; Shutterfly)")</f>
        <v>Sanjay Patel (Chairman Int'l &amp; SP of PE, Apollo), Scott Kleinman (Co-President, Apollo Global Mgmt), Jennifer Fleiss (Co-founder,Rent the Runway; Fmr CEO, Jetblack) Mitch Garber (Fmr CEO, Optimal Payments; Director, Rackspace &amp; Shutterfly)</v>
      </c>
      <c r="G65" s="60">
        <f>IFERROR(__xludf.DUMMYFUNCTION("""COMPUTED_VALUE"""),8.16985533E8)</f>
        <v>816985533</v>
      </c>
      <c r="H65" s="60">
        <f>IFERROR(__xludf.DUMMYFUNCTION("""COMPUTED_VALUE"""),8.1435957E8)</f>
        <v>814359570</v>
      </c>
      <c r="I65" s="61">
        <f>IFERROR(__xludf.DUMMYFUNCTION("""COMPUTED_VALUE"""),9.97)</f>
        <v>9.97</v>
      </c>
      <c r="J65" s="62">
        <f>IFERROR(__xludf.DUMMYFUNCTION("""COMPUTED_VALUE"""),-0.002)</f>
        <v>-0.002</v>
      </c>
      <c r="K65" s="59">
        <f>IFERROR(__xludf.DUMMYFUNCTION("""COMPUTED_VALUE"""),10.4553)</f>
        <v>10.4553</v>
      </c>
      <c r="L65" s="63">
        <f>IFERROR(__xludf.DUMMYFUNCTION("""COMPUTED_VALUE"""),1.34)</f>
        <v>1.34</v>
      </c>
      <c r="M65" s="64" t="str">
        <f>IFERROR(__xludf.DUMMYFUNCTION("""COMPUTED_VALUE"""),"U: [1/3 W]; W: [1:1, $11.5]")</f>
        <v>U: [1/3 W]; W: [1:1, $11.5]</v>
      </c>
      <c r="N65" s="65" t="str">
        <f>IFERROR(__xludf.DUMMYFUNCTION("""COMPUTED_VALUE"""),"")</f>
        <v/>
      </c>
      <c r="O65" s="66">
        <f>IFERROR(__xludf.DUMMYFUNCTION("""COMPUTED_VALUE"""),0.0)</f>
        <v>0</v>
      </c>
      <c r="P65" s="67">
        <f>IFERROR(__xludf.DUMMYFUNCTION("""COMPUTED_VALUE"""),44105.0)</f>
        <v>44105</v>
      </c>
      <c r="Q65" s="68">
        <f>IFERROR(__xludf.DUMMYFUNCTION("""COMPUTED_VALUE"""),816.81)</f>
        <v>816.81</v>
      </c>
      <c r="R65" s="69" t="str">
        <f>IFERROR(__xludf.DUMMYFUNCTION("""COMPUTED_VALUE"""),"Citigroup, Credit Suisse, Goldman Sachs")</f>
        <v>Citigroup, Credit Suisse, Goldman Sachs</v>
      </c>
      <c r="S65" s="64">
        <f>IFERROR(__xludf.DUMMYFUNCTION("""COMPUTED_VALUE"""),44835.0)</f>
        <v>44835</v>
      </c>
      <c r="T65" s="70">
        <f>IFERROR(__xludf.DUMMYFUNCTION("""COMPUTED_VALUE"""),0.26164383561643834)</f>
        <v>0.2616438356</v>
      </c>
      <c r="U65" s="71" t="str">
        <f>IFERROR(__xludf.DUMMYFUNCTION("""COMPUTED_VALUE"""),"https://www.sec.gov/cgi-bin/browse-edgar?CIK=1820872")</f>
        <v>https://www.sec.gov/cgi-bin/browse-edgar?CIK=1820872</v>
      </c>
      <c r="V65" s="72" t="str">
        <f>IFERROR(__xludf.DUMMYFUNCTION("""COMPUTED_VALUE""")," Trading Below $10 (Common)  $500M+ Trust     Well-known Sponsor Serial Sponsor Top Tier UW ")</f>
        <v> Trading Below $10 (Common)  $500M+ Trust     Well-known Sponsor Serial Sponsor Top Tier UW </v>
      </c>
      <c r="W65" s="73"/>
      <c r="X65" s="74"/>
      <c r="Y65" s="75"/>
      <c r="Z65" s="60"/>
      <c r="AA65" s="60"/>
      <c r="AB65" s="60"/>
      <c r="AC65" s="60"/>
      <c r="AD65" s="73"/>
      <c r="AE65" s="73"/>
      <c r="AF65" s="76"/>
      <c r="AG65" s="60" t="str">
        <f>IFERROR(__xludf.DUMMYFUNCTION("""COMPUTED_VALUE"""),"")</f>
        <v/>
      </c>
    </row>
    <row r="66">
      <c r="A66" s="54" t="str">
        <f>IFERROR(__xludf.DUMMYFUNCTION("""COMPUTED_VALUE"""),"APTM")</f>
        <v>APTM</v>
      </c>
      <c r="B66" s="55" t="str">
        <f>IFERROR(__xludf.DUMMYFUNCTION("""COMPUTED_VALUE"""),"Alpha Partners Technology Merger Corp.")</f>
        <v>Alpha Partners Technology Merger Corp.</v>
      </c>
      <c r="C66" s="56" t="str">
        <f>IFERROR(__xludf.DUMMYFUNCTION("""COMPUTED_VALUE"""),"Pre IPO")</f>
        <v>Pre IPO</v>
      </c>
      <c r="D66" s="77" t="str">
        <f>IFERROR(__xludf.DUMMYFUNCTION("""COMPUTED_VALUE"""),"Tech")</f>
        <v>Tech</v>
      </c>
      <c r="E66" s="58"/>
      <c r="F66" s="59" t="str">
        <f>IFERROR(__xludf.DUMMYFUNCTION("""COMPUTED_VALUE"""),"Scott Grimes (Fmr CEO, Cardlytics)")</f>
        <v>Scott Grimes (Fmr CEO, Cardlytics)</v>
      </c>
      <c r="G66" s="60">
        <f>IFERROR(__xludf.DUMMYFUNCTION("""COMPUTED_VALUE"""),2.5E8)</f>
        <v>250000000</v>
      </c>
      <c r="H66" s="60" t="str">
        <f>IFERROR(__xludf.DUMMYFUNCTION("""COMPUTED_VALUE""")," ")</f>
        <v> </v>
      </c>
      <c r="I66" s="61" t="str">
        <f>IFERROR(__xludf.DUMMYFUNCTION("""COMPUTED_VALUE""")," ")</f>
        <v> </v>
      </c>
      <c r="J66" s="62" t="str">
        <f>IFERROR(__xludf.DUMMYFUNCTION("""COMPUTED_VALUE""")," ")</f>
        <v> </v>
      </c>
      <c r="K66" s="59" t="str">
        <f>IFERROR(__xludf.DUMMYFUNCTION("""COMPUTED_VALUE""")," ")</f>
        <v> </v>
      </c>
      <c r="L66" s="63" t="str">
        <f>IFERROR(__xludf.DUMMYFUNCTION("""COMPUTED_VALUE""")," ")</f>
        <v> </v>
      </c>
      <c r="M66" s="64" t="str">
        <f>IFERROR(__xludf.DUMMYFUNCTION("""COMPUTED_VALUE"""),"U: [1/3 W]; W: [1:1, $11.5]")</f>
        <v>U: [1/3 W]; W: [1:1, $11.5]</v>
      </c>
      <c r="N66" s="65" t="str">
        <f>IFERROR(__xludf.DUMMYFUNCTION("""COMPUTED_VALUE"""),"")</f>
        <v/>
      </c>
      <c r="O66" s="66" t="str">
        <f>IFERROR(__xludf.DUMMYFUNCTION("""COMPUTED_VALUE"""),"")</f>
        <v/>
      </c>
      <c r="P66" s="67"/>
      <c r="Q66" s="68">
        <f>IFERROR(__xludf.DUMMYFUNCTION("""COMPUTED_VALUE"""),250.0)</f>
        <v>250</v>
      </c>
      <c r="R66" s="69" t="str">
        <f>IFERROR(__xludf.DUMMYFUNCTION("""COMPUTED_VALUE"""),"Citigroup, Morgan Stanley")</f>
        <v>Citigroup, Morgan Stanley</v>
      </c>
      <c r="S66" s="64">
        <f>IFERROR(__xludf.DUMMYFUNCTION("""COMPUTED_VALUE"""),45086.0)</f>
        <v>45086</v>
      </c>
      <c r="T66" s="70" t="str">
        <f>IFERROR(__xludf.DUMMYFUNCTION("""COMPUTED_VALUE"""),"")</f>
        <v/>
      </c>
      <c r="U66" s="71" t="str">
        <f>IFERROR(__xludf.DUMMYFUNCTION("""COMPUTED_VALUE"""),"https://www.sec.gov/cgi-bin/browse-edgar?CIK=1845550")</f>
        <v>https://www.sec.gov/cgi-bin/browse-edgar?CIK=1845550</v>
      </c>
      <c r="V66" s="72" t="str">
        <f>IFERROR(__xludf.DUMMYFUNCTION("""COMPUTED_VALUE"""),"           Top Tier UW ")</f>
        <v>           Top Tier UW </v>
      </c>
      <c r="W66" s="73"/>
      <c r="X66" s="74"/>
      <c r="Y66" s="75"/>
      <c r="Z66" s="60"/>
      <c r="AA66" s="60"/>
      <c r="AB66" s="60"/>
      <c r="AC66" s="60"/>
      <c r="AD66" s="73"/>
      <c r="AE66" s="73"/>
      <c r="AF66" s="76"/>
      <c r="AG66" s="60"/>
    </row>
    <row r="67">
      <c r="A67" s="54" t="str">
        <f>IFERROR(__xludf.DUMMYFUNCTION("""COMPUTED_VALUE"""),"APXT")</f>
        <v>APXT</v>
      </c>
      <c r="B67" s="55" t="str">
        <f>IFERROR(__xludf.DUMMYFUNCTION("""COMPUTED_VALUE"""),"Apex Technology Acquisition Corp")</f>
        <v>Apex Technology Acquisition Corp</v>
      </c>
      <c r="C67" s="56" t="str">
        <f>IFERROR(__xludf.DUMMYFUNCTION("""COMPUTED_VALUE"""),"Definitive Agreement")</f>
        <v>Definitive Agreement</v>
      </c>
      <c r="D67" s="57" t="str">
        <f>IFERROR(__xludf.DUMMYFUNCTION("""COMPUTED_VALUE"""),"Tech, Software, Internet")</f>
        <v>Tech, Software, Internet</v>
      </c>
      <c r="E67" s="58" t="str">
        <f>IFERROR(__xludf.DUMMYFUNCTION("""COMPUTED_VALUE"""),"AvePoint [DA: 11/23/20]")</f>
        <v>AvePoint [DA: 11/23/20]</v>
      </c>
      <c r="F67" s="59" t="str">
        <f>IFERROR(__xludf.DUMMYFUNCTION("""COMPUTED_VALUE"""),"Jeff Epstein (Former CEO of Oracle)")</f>
        <v>Jeff Epstein (Former CEO of Oracle)</v>
      </c>
      <c r="G67" s="60">
        <f>IFERROR(__xludf.DUMMYFUNCTION("""COMPUTED_VALUE"""),3.5185832E8)</f>
        <v>351858320</v>
      </c>
      <c r="H67" s="60">
        <f>IFERROR(__xludf.DUMMYFUNCTION("""COMPUTED_VALUE"""),4.375982E8)</f>
        <v>437598200</v>
      </c>
      <c r="I67" s="61">
        <f>IFERROR(__xludf.DUMMYFUNCTION("""COMPUTED_VALUE"""),12.22)</f>
        <v>12.22</v>
      </c>
      <c r="J67" s="62">
        <f>IFERROR(__xludf.DUMMYFUNCTION("""COMPUTED_VALUE"""),0.01075)</f>
        <v>0.01075</v>
      </c>
      <c r="K67" s="59">
        <f>IFERROR(__xludf.DUMMYFUNCTION("""COMPUTED_VALUE"""),12.9)</f>
        <v>12.9</v>
      </c>
      <c r="L67" s="63">
        <f>IFERROR(__xludf.DUMMYFUNCTION("""COMPUTED_VALUE"""),3.09)</f>
        <v>3.09</v>
      </c>
      <c r="M67" s="64" t="str">
        <f>IFERROR(__xludf.DUMMYFUNCTION("""COMPUTED_VALUE"""),"U: [1/2 W]; W: [1:1, $11.5]")</f>
        <v>U: [1/2 W]; W: [1:1, $11.5]</v>
      </c>
      <c r="N67" s="65" t="str">
        <f>IFERROR(__xludf.DUMMYFUNCTION("""COMPUTED_VALUE"""),"")</f>
        <v/>
      </c>
      <c r="O67" s="66">
        <f>IFERROR(__xludf.DUMMYFUNCTION("""COMPUTED_VALUE"""),0.7200000000000006)</f>
        <v>0.72</v>
      </c>
      <c r="P67" s="67">
        <f>IFERROR(__xludf.DUMMYFUNCTION("""COMPUTED_VALUE"""),43725.0)</f>
        <v>43725</v>
      </c>
      <c r="Q67" s="68">
        <f>IFERROR(__xludf.DUMMYFUNCTION("""COMPUTED_VALUE"""),350.0)</f>
        <v>350</v>
      </c>
      <c r="R67" s="69" t="str">
        <f>IFERROR(__xludf.DUMMYFUNCTION("""COMPUTED_VALUE"""),"Cantor")</f>
        <v>Cantor</v>
      </c>
      <c r="S67" s="64">
        <f>IFERROR(__xludf.DUMMYFUNCTION("""COMPUTED_VALUE"""),44455.0)</f>
        <v>44455</v>
      </c>
      <c r="T67" s="70">
        <f>IFERROR(__xludf.DUMMYFUNCTION("""COMPUTED_VALUE"""),0.7821917808219178)</f>
        <v>0.7821917808</v>
      </c>
      <c r="U67" s="71" t="str">
        <f>IFERROR(__xludf.DUMMYFUNCTION("""COMPUTED_VALUE"""),"https://www.sec.gov/cgi-bin/browse-edgar?CIK=1777921")</f>
        <v>https://www.sec.gov/cgi-bin/browse-edgar?CIK=1777921</v>
      </c>
      <c r="V67" s="72" t="str">
        <f>IFERROR(__xludf.DUMMYFUNCTION("""COMPUTED_VALUE"""),"     Optionable    Well-known Sponsor   ")</f>
        <v>     Optionable    Well-known Sponsor   </v>
      </c>
      <c r="W67" s="73">
        <f>IFERROR(__xludf.DUMMYFUNCTION("""COMPUTED_VALUE"""),44158.0)</f>
        <v>44158</v>
      </c>
      <c r="X67" s="79">
        <f>IFERROR(__xludf.DUMMYFUNCTION("""COMPUTED_VALUE"""),14.433333333333334)</f>
        <v>14.43333333</v>
      </c>
      <c r="Y67" s="80" t="str">
        <f>IFERROR(__xludf.DUMMYFUNCTION("""COMPUTED_VALUE"""),"https://www.businesswire.com/news/home/20201123005590/en/AvePoint-the-Largest-Microsoft-365-Data-Management-Solutions-Provider-Announces-2bn-Merger#.X7u6rNjjdqY.twitter")</f>
        <v>https://www.businesswire.com/news/home/20201123005590/en/AvePoint-the-Largest-Microsoft-365-Data-Management-Solutions-Provider-Announces-2bn-Merger#.X7u6rNjjdqY.twitter</v>
      </c>
      <c r="Z67" s="81" t="str">
        <f>IFERROR(__xludf.DUMMYFUNCTION("""COMPUTED_VALUE"""),"https://www.sec.gov/Archives/edgar/data/1777921/000121390020038638/ea130364ex99-2_apextech.htm")</f>
        <v>https://www.sec.gov/Archives/edgar/data/1777921/000121390020038638/ea130364ex99-2_apextech.htm</v>
      </c>
      <c r="AA67" s="60">
        <f>IFERROR(__xludf.DUMMYFUNCTION("""COMPUTED_VALUE"""),1.4E8)</f>
        <v>140000000</v>
      </c>
      <c r="AB67" s="60">
        <f>IFERROR(__xludf.DUMMYFUNCTION("""COMPUTED_VALUE"""),1.99E9)</f>
        <v>1990000000</v>
      </c>
      <c r="AC67" s="60">
        <f>IFERROR(__xludf.DUMMYFUNCTION("""COMPUTED_VALUE"""),1.738E9)</f>
        <v>1738000000</v>
      </c>
      <c r="AD67" s="73"/>
      <c r="AE67" s="73"/>
      <c r="AF67" s="76">
        <f>IFERROR(__xludf.DUMMYFUNCTION("""COMPUTED_VALUE"""),1.99E8)</f>
        <v>199000000</v>
      </c>
      <c r="AG67" s="60">
        <f>IFERROR(__xludf.DUMMYFUNCTION("""COMPUTED_VALUE"""),2.43178E9)</f>
        <v>2431780000</v>
      </c>
    </row>
    <row r="68">
      <c r="A68" s="54" t="str">
        <f>IFERROR(__xludf.DUMMYFUNCTION("""COMPUTED_VALUE"""),"ARBG")</f>
        <v>ARBG</v>
      </c>
      <c r="B68" s="55" t="str">
        <f>IFERROR(__xludf.DUMMYFUNCTION("""COMPUTED_VALUE"""),"Aequi Acquisition Corp.")</f>
        <v>Aequi Acquisition Corp.</v>
      </c>
      <c r="C68" s="56" t="str">
        <f>IFERROR(__xludf.DUMMYFUNCTION("""COMPUTED_VALUE"""),"Searching")</f>
        <v>Searching</v>
      </c>
      <c r="D68" s="57" t="str">
        <f>IFERROR(__xludf.DUMMYFUNCTION("""COMPUTED_VALUE"""),"Consumer (Tech-driven, strong ESG)")</f>
        <v>Consumer (Tech-driven, strong ESG)</v>
      </c>
      <c r="E68" s="58"/>
      <c r="F68" s="59" t="str">
        <f>IFERROR(__xludf.DUMMYFUNCTION("""COMPUTED_VALUE"""),"Advisors: Katia Beauchamp (Co-founder/CEO, Birchbox), Brian Weinstein (Pres/COO, Bad Robot)")</f>
        <v>Advisors: Katia Beauchamp (Co-founder/CEO, Birchbox), Brian Weinstein (Pres/COO, Bad Robot)</v>
      </c>
      <c r="G68" s="60">
        <f>IFERROR(__xludf.DUMMYFUNCTION("""COMPUTED_VALUE"""),2.3E8)</f>
        <v>230000000</v>
      </c>
      <c r="H68" s="60">
        <f>IFERROR(__xludf.DUMMYFUNCTION("""COMPUTED_VALUE"""),2.2793E8)</f>
        <v>227930000</v>
      </c>
      <c r="I68" s="61">
        <f>IFERROR(__xludf.DUMMYFUNCTION("""COMPUTED_VALUE"""),9.91)</f>
        <v>9.91</v>
      </c>
      <c r="J68" s="62">
        <f>IFERROR(__xludf.DUMMYFUNCTION("""COMPUTED_VALUE"""),0.00202)</f>
        <v>0.00202</v>
      </c>
      <c r="K68" s="59">
        <f>IFERROR(__xludf.DUMMYFUNCTION("""COMPUTED_VALUE"""),10.16)</f>
        <v>10.16</v>
      </c>
      <c r="L68" s="63">
        <f>IFERROR(__xludf.DUMMYFUNCTION("""COMPUTED_VALUE"""),1.08)</f>
        <v>1.08</v>
      </c>
      <c r="M68" s="64" t="str">
        <f>IFERROR(__xludf.DUMMYFUNCTION("""COMPUTED_VALUE"""),"U: [1/3 W]; W: [1:1, $11.5]")</f>
        <v>U: [1/3 W]; W: [1:1, $11.5]</v>
      </c>
      <c r="N68" s="65" t="str">
        <f>IFERROR(__xludf.DUMMYFUNCTION("""COMPUTED_VALUE"""),"")</f>
        <v/>
      </c>
      <c r="O68" s="66">
        <f>IFERROR(__xludf.DUMMYFUNCTION("""COMPUTED_VALUE"""),0.0)</f>
        <v>0</v>
      </c>
      <c r="P68" s="67">
        <f>IFERROR(__xludf.DUMMYFUNCTION("""COMPUTED_VALUE"""),44154.0)</f>
        <v>44154</v>
      </c>
      <c r="Q68" s="68">
        <f>IFERROR(__xludf.DUMMYFUNCTION("""COMPUTED_VALUE"""),230.0)</f>
        <v>230</v>
      </c>
      <c r="R68" s="69" t="str">
        <f>IFERROR(__xludf.DUMMYFUNCTION("""COMPUTED_VALUE"""),"RBC Capital Markets, BofA Securities")</f>
        <v>RBC Capital Markets, BofA Securities</v>
      </c>
      <c r="S68" s="64">
        <f>IFERROR(__xludf.DUMMYFUNCTION("""COMPUTED_VALUE"""),44884.0)</f>
        <v>44884</v>
      </c>
      <c r="T68" s="70">
        <f>IFERROR(__xludf.DUMMYFUNCTION("""COMPUTED_VALUE"""),0.19452054794520549)</f>
        <v>0.1945205479</v>
      </c>
      <c r="U68" s="71" t="str">
        <f>IFERROR(__xludf.DUMMYFUNCTION("""COMPUTED_VALUE"""),"https://www.sec.gov/cgi-bin/browse-edgar?CIK=1823826")</f>
        <v>https://www.sec.gov/cgi-bin/browse-edgar?CIK=1823826</v>
      </c>
      <c r="V68" s="72" t="str">
        <f>IFERROR(__xludf.DUMMYFUNCTION("""COMPUTED_VALUE""")," Trading Below $10 (Common)          Top Tier UW ")</f>
        <v> Trading Below $10 (Common)          Top Tier UW </v>
      </c>
      <c r="W68" s="73"/>
      <c r="X68" s="74"/>
      <c r="Y68" s="75"/>
      <c r="Z68" s="60"/>
      <c r="AA68" s="60"/>
      <c r="AB68" s="60"/>
      <c r="AC68" s="60"/>
      <c r="AD68" s="73"/>
      <c r="AE68" s="73"/>
      <c r="AF68" s="76"/>
      <c r="AG68" s="60" t="str">
        <f>IFERROR(__xludf.DUMMYFUNCTION("""COMPUTED_VALUE"""),"")</f>
        <v/>
      </c>
    </row>
    <row r="69">
      <c r="A69" s="54" t="str">
        <f>IFERROR(__xludf.DUMMYFUNCTION("""COMPUTED_VALUE"""),"ARK")</f>
        <v>ARK</v>
      </c>
      <c r="B69" s="55" t="str">
        <f>IFERROR(__xludf.DUMMYFUNCTION("""COMPUTED_VALUE"""),"5G Edge Acquisition Corp.")</f>
        <v>5G Edge Acquisition Corp.</v>
      </c>
      <c r="C69" s="56" t="str">
        <f>IFERROR(__xludf.DUMMYFUNCTION("""COMPUTED_VALUE"""),"Pre IPO")</f>
        <v>Pre IPO</v>
      </c>
      <c r="D69" s="77" t="str">
        <f>IFERROR(__xludf.DUMMYFUNCTION("""COMPUTED_VALUE"""),"TMT")</f>
        <v>TMT</v>
      </c>
      <c r="E69" s="58"/>
      <c r="F69" s="59" t="str">
        <f>IFERROR(__xludf.DUMMYFUNCTION("""COMPUTED_VALUE"""),"Douglas Maine (Former CFO of IBM and Director of Acreage Holdings)")</f>
        <v>Douglas Maine (Former CFO of IBM and Director of Acreage Holdings)</v>
      </c>
      <c r="G69" s="60">
        <f>IFERROR(__xludf.DUMMYFUNCTION("""COMPUTED_VALUE"""),3.0E8)</f>
        <v>300000000</v>
      </c>
      <c r="H69" s="60" t="str">
        <f>IFERROR(__xludf.DUMMYFUNCTION("""COMPUTED_VALUE""")," ")</f>
        <v> </v>
      </c>
      <c r="I69" s="61" t="str">
        <f>IFERROR(__xludf.DUMMYFUNCTION("""COMPUTED_VALUE""")," ")</f>
        <v> </v>
      </c>
      <c r="J69" s="62" t="str">
        <f>IFERROR(__xludf.DUMMYFUNCTION("""COMPUTED_VALUE""")," ")</f>
        <v> </v>
      </c>
      <c r="K69" s="59" t="str">
        <f>IFERROR(__xludf.DUMMYFUNCTION("""COMPUTED_VALUE""")," ")</f>
        <v> </v>
      </c>
      <c r="L69" s="63">
        <f>IFERROR(__xludf.DUMMYFUNCTION("""COMPUTED_VALUE"""),154.29)</f>
        <v>154.29</v>
      </c>
      <c r="M69" s="64" t="str">
        <f>IFERROR(__xludf.DUMMYFUNCTION("""COMPUTED_VALUE"""),"U: [1/3 W]; W: [1:1, $11.5]")</f>
        <v>U: [1/3 W]; W: [1:1, $11.5]</v>
      </c>
      <c r="N69" s="65" t="str">
        <f>IFERROR(__xludf.DUMMYFUNCTION("""COMPUTED_VALUE"""),"")</f>
        <v/>
      </c>
      <c r="O69" s="66">
        <f>IFERROR(__xludf.DUMMYFUNCTION("""COMPUTED_VALUE"""),0.0)</f>
        <v>0</v>
      </c>
      <c r="P69" s="67"/>
      <c r="Q69" s="68">
        <f>IFERROR(__xludf.DUMMYFUNCTION("""COMPUTED_VALUE"""),300.0)</f>
        <v>300</v>
      </c>
      <c r="R69" s="69" t="str">
        <f>IFERROR(__xludf.DUMMYFUNCTION("""COMPUTED_VALUE"""),"Cantor")</f>
        <v>Cantor</v>
      </c>
      <c r="S69" s="64">
        <f>IFERROR(__xludf.DUMMYFUNCTION("""COMPUTED_VALUE"""),45086.0)</f>
        <v>45086</v>
      </c>
      <c r="T69" s="70" t="str">
        <f>IFERROR(__xludf.DUMMYFUNCTION("""COMPUTED_VALUE"""),"")</f>
        <v/>
      </c>
      <c r="U69" s="71" t="str">
        <f>IFERROR(__xludf.DUMMYFUNCTION("""COMPUTED_VALUE"""),"https://www.sec.gov/cgi-bin/browse-edgar?CIK=1843093")</f>
        <v>https://www.sec.gov/cgi-bin/browse-edgar?CIK=1843093</v>
      </c>
      <c r="V69" s="72" t="str">
        <f>IFERROR(__xludf.DUMMYFUNCTION("""COMPUTED_VALUE"""),"            ")</f>
        <v>            </v>
      </c>
      <c r="W69" s="73"/>
      <c r="X69" s="74"/>
      <c r="Y69" s="75"/>
      <c r="Z69" s="60"/>
      <c r="AA69" s="60"/>
      <c r="AB69" s="60"/>
      <c r="AC69" s="60"/>
      <c r="AD69" s="73"/>
      <c r="AE69" s="73"/>
      <c r="AF69" s="76"/>
      <c r="AG69" s="60"/>
    </row>
    <row r="70">
      <c r="A70" s="54" t="str">
        <f>IFERROR(__xludf.DUMMYFUNCTION("""COMPUTED_VALUE"""),"ARRW")</f>
        <v>ARRW</v>
      </c>
      <c r="B70" s="55" t="str">
        <f>IFERROR(__xludf.DUMMYFUNCTION("""COMPUTED_VALUE"""),"Arrowroot Acquisition Corp.")</f>
        <v>Arrowroot Acquisition Corp.</v>
      </c>
      <c r="C70" s="56" t="str">
        <f>IFERROR(__xludf.DUMMYFUNCTION("""COMPUTED_VALUE"""),"Searching (Pre Unit Split)")</f>
        <v>Searching (Pre Unit Split)</v>
      </c>
      <c r="D70" s="77" t="str">
        <f>IFERROR(__xludf.DUMMYFUNCTION("""COMPUTED_VALUE"""),"Enterprise Software, Tech")</f>
        <v>Enterprise Software, Tech</v>
      </c>
      <c r="E70" s="58"/>
      <c r="F70" s="59" t="str">
        <f>IFERROR(__xludf.DUMMYFUNCTION("""COMPUTED_VALUE"""),"Dixon Doll (Fmr Director, DirecTV), Gaurav Dhillon (Chairman/CEO, SnapLogic)")</f>
        <v>Dixon Doll (Fmr Director, DirecTV), Gaurav Dhillon (Chairman/CEO, SnapLogic)</v>
      </c>
      <c r="G70" s="60">
        <f>IFERROR(__xludf.DUMMYFUNCTION("""COMPUTED_VALUE"""),2.875E8)</f>
        <v>287500000</v>
      </c>
      <c r="H70" s="60" t="str">
        <f>IFERROR(__xludf.DUMMYFUNCTION("""COMPUTED_VALUE""")," ")</f>
        <v> </v>
      </c>
      <c r="I70" s="61" t="str">
        <f>IFERROR(__xludf.DUMMYFUNCTION("""COMPUTED_VALUE""")," ")</f>
        <v> </v>
      </c>
      <c r="J70" s="62" t="str">
        <f>IFERROR(__xludf.DUMMYFUNCTION("""COMPUTED_VALUE""")," ")</f>
        <v> </v>
      </c>
      <c r="K70" s="59">
        <f>IFERROR(__xludf.DUMMYFUNCTION("""COMPUTED_VALUE"""),10.02)</f>
        <v>10.02</v>
      </c>
      <c r="L70" s="63" t="str">
        <f>IFERROR(__xludf.DUMMYFUNCTION("""COMPUTED_VALUE""")," ")</f>
        <v> </v>
      </c>
      <c r="M70" s="64" t="str">
        <f>IFERROR(__xludf.DUMMYFUNCTION("""COMPUTED_VALUE"""),"U: [1/2 W]; W: [1:1, $11.5]")</f>
        <v>U: [1/2 W]; W: [1:1, $11.5]</v>
      </c>
      <c r="N70" s="65">
        <f>IFERROR(__xludf.DUMMYFUNCTION("""COMPUTED_VALUE"""),44308.0)</f>
        <v>44308</v>
      </c>
      <c r="O70" s="66" t="str">
        <f>IFERROR(__xludf.DUMMYFUNCTION("""COMPUTED_VALUE"""),"")</f>
        <v/>
      </c>
      <c r="P70" s="67">
        <f>IFERROR(__xludf.DUMMYFUNCTION("""COMPUTED_VALUE"""),44256.0)</f>
        <v>44256</v>
      </c>
      <c r="Q70" s="68">
        <f>IFERROR(__xludf.DUMMYFUNCTION("""COMPUTED_VALUE"""),287.5)</f>
        <v>287.5</v>
      </c>
      <c r="R70" s="69" t="str">
        <f>IFERROR(__xludf.DUMMYFUNCTION("""COMPUTED_VALUE"""),"Cantor")</f>
        <v>Cantor</v>
      </c>
      <c r="S70" s="64">
        <f>IFERROR(__xludf.DUMMYFUNCTION("""COMPUTED_VALUE"""),44986.0)</f>
        <v>44986</v>
      </c>
      <c r="T70" s="70">
        <f>IFERROR(__xludf.DUMMYFUNCTION("""COMPUTED_VALUE"""),0.0547945205479452)</f>
        <v>0.05479452055</v>
      </c>
      <c r="U70" s="71" t="str">
        <f>IFERROR(__xludf.DUMMYFUNCTION("""COMPUTED_VALUE"""),"https://www.sec.gov/cgi-bin/browse-edgar?CIK=1835972")</f>
        <v>https://www.sec.gov/cgi-bin/browse-edgar?CIK=1835972</v>
      </c>
      <c r="V70" s="72" t="str">
        <f>IFERROR(__xludf.DUMMYFUNCTION("""COMPUTED_VALUE"""),"            ")</f>
        <v>            </v>
      </c>
      <c r="W70" s="73"/>
      <c r="X70" s="74"/>
      <c r="Y70" s="75"/>
      <c r="Z70" s="60"/>
      <c r="AA70" s="60"/>
      <c r="AB70" s="60"/>
      <c r="AC70" s="60"/>
      <c r="AD70" s="73"/>
      <c r="AE70" s="73"/>
      <c r="AF70" s="76"/>
      <c r="AG70" s="60"/>
    </row>
    <row r="71">
      <c r="A71" s="54" t="str">
        <f>IFERROR(__xludf.DUMMYFUNCTION("""COMPUTED_VALUE"""),"ARTA")</f>
        <v>ARTA</v>
      </c>
      <c r="B71" s="55" t="str">
        <f>IFERROR(__xludf.DUMMYFUNCTION("""COMPUTED_VALUE"""),"Artisan Acquisition Corp.")</f>
        <v>Artisan Acquisition Corp.</v>
      </c>
      <c r="C71" s="56" t="str">
        <f>IFERROR(__xludf.DUMMYFUNCTION("""COMPUTED_VALUE"""),"Pre IPO")</f>
        <v>Pre IPO</v>
      </c>
      <c r="D71" s="77" t="str">
        <f>IFERROR(__xludf.DUMMYFUNCTION("""COMPUTED_VALUE"""),"Healthcare, Consumer, Tech, China")</f>
        <v>Healthcare, Consumer, Tech, China</v>
      </c>
      <c r="E71" s="58"/>
      <c r="F71" s="59" t="str">
        <f>IFERROR(__xludf.DUMMYFUNCTION("""COMPUTED_VALUE"""),"Mitch Garber (Chairman of Invest in Canada, Fmr Chairman of Cirque du Soleil, Fmr CEO of Optimal Payments/Paysafe)")</f>
        <v>Mitch Garber (Chairman of Invest in Canada, Fmr Chairman of Cirque du Soleil, Fmr CEO of Optimal Payments/Paysafe)</v>
      </c>
      <c r="G71" s="60">
        <f>IFERROR(__xludf.DUMMYFUNCTION("""COMPUTED_VALUE"""),3.0E8)</f>
        <v>300000000</v>
      </c>
      <c r="H71" s="60" t="str">
        <f>IFERROR(__xludf.DUMMYFUNCTION("""COMPUTED_VALUE""")," ")</f>
        <v> </v>
      </c>
      <c r="I71" s="61" t="str">
        <f>IFERROR(__xludf.DUMMYFUNCTION("""COMPUTED_VALUE""")," ")</f>
        <v> </v>
      </c>
      <c r="J71" s="62" t="str">
        <f>IFERROR(__xludf.DUMMYFUNCTION("""COMPUTED_VALUE""")," ")</f>
        <v> </v>
      </c>
      <c r="K71" s="59" t="str">
        <f>IFERROR(__xludf.DUMMYFUNCTION("""COMPUTED_VALUE""")," ")</f>
        <v> </v>
      </c>
      <c r="L71" s="63" t="str">
        <f>IFERROR(__xludf.DUMMYFUNCTION("""COMPUTED_VALUE""")," ")</f>
        <v> </v>
      </c>
      <c r="M71" s="64" t="str">
        <f>IFERROR(__xludf.DUMMYFUNCTION("""COMPUTED_VALUE"""),"U: [1/3 W]; W: [1:1, $11.5]")</f>
        <v>U: [1/3 W]; W: [1:1, $11.5]</v>
      </c>
      <c r="N71" s="65" t="str">
        <f>IFERROR(__xludf.DUMMYFUNCTION("""COMPUTED_VALUE"""),"")</f>
        <v/>
      </c>
      <c r="O71" s="66">
        <f>IFERROR(__xludf.DUMMYFUNCTION("""COMPUTED_VALUE"""),0.0)</f>
        <v>0</v>
      </c>
      <c r="P71" s="67"/>
      <c r="Q71" s="68">
        <f>IFERROR(__xludf.DUMMYFUNCTION("""COMPUTED_VALUE"""),300.0)</f>
        <v>300</v>
      </c>
      <c r="R71" s="69" t="str">
        <f>IFERROR(__xludf.DUMMYFUNCTION("""COMPUTED_VALUE"""),"Credit Suisse, UBS Investment Bank")</f>
        <v>Credit Suisse, UBS Investment Bank</v>
      </c>
      <c r="S71" s="64">
        <f>IFERROR(__xludf.DUMMYFUNCTION("""COMPUTED_VALUE"""),45086.0)</f>
        <v>45086</v>
      </c>
      <c r="T71" s="70" t="str">
        <f>IFERROR(__xludf.DUMMYFUNCTION("""COMPUTED_VALUE"""),"")</f>
        <v/>
      </c>
      <c r="U71" s="71" t="str">
        <f>IFERROR(__xludf.DUMMYFUNCTION("""COMPUTED_VALUE"""),"https://www.sec.gov/cgi-bin/browse-edgar?CIK=1844840")</f>
        <v>https://www.sec.gov/cgi-bin/browse-edgar?CIK=1844840</v>
      </c>
      <c r="V71" s="72" t="str">
        <f>IFERROR(__xludf.DUMMYFUNCTION("""COMPUTED_VALUE"""),"            ")</f>
        <v>            </v>
      </c>
      <c r="W71" s="73"/>
      <c r="X71" s="74"/>
      <c r="Y71" s="75"/>
      <c r="Z71" s="60"/>
      <c r="AA71" s="60"/>
      <c r="AB71" s="60"/>
      <c r="AC71" s="60"/>
      <c r="AD71" s="73"/>
      <c r="AE71" s="73"/>
      <c r="AF71" s="76"/>
      <c r="AG71" s="60"/>
    </row>
    <row r="72">
      <c r="A72" s="54" t="str">
        <f>IFERROR(__xludf.DUMMYFUNCTION("""COMPUTED_VALUE"""),"ARTE")</f>
        <v>ARTE</v>
      </c>
      <c r="B72" s="55" t="str">
        <f>IFERROR(__xludf.DUMMYFUNCTION("""COMPUTED_VALUE"""),"Artemis Strategic Investment Corp")</f>
        <v>Artemis Strategic Investment Corp</v>
      </c>
      <c r="C72" s="56" t="str">
        <f>IFERROR(__xludf.DUMMYFUNCTION("""COMPUTED_VALUE"""),"Pre IPO")</f>
        <v>Pre IPO</v>
      </c>
      <c r="D72" s="77" t="str">
        <f>IFERROR(__xludf.DUMMYFUNCTION("""COMPUTED_VALUE"""),"Tech in Gaming, Hospitality, &amp; Entertainment")</f>
        <v>Tech in Gaming, Hospitality, &amp; Entertainment</v>
      </c>
      <c r="E72" s="58"/>
      <c r="F72" s="59" t="str">
        <f>IFERROR(__xludf.DUMMYFUNCTION("""COMPUTED_VALUE"""),"Holly Gagnon (Fmr CEO, Seneca Gaming), ")</f>
        <v>Holly Gagnon (Fmr CEO, Seneca Gaming), </v>
      </c>
      <c r="G72" s="60">
        <f>IFERROR(__xludf.DUMMYFUNCTION("""COMPUTED_VALUE"""),1.5E8)</f>
        <v>150000000</v>
      </c>
      <c r="H72" s="60" t="str">
        <f>IFERROR(__xludf.DUMMYFUNCTION("""COMPUTED_VALUE""")," ")</f>
        <v> </v>
      </c>
      <c r="I72" s="61" t="str">
        <f>IFERROR(__xludf.DUMMYFUNCTION("""COMPUTED_VALUE""")," ")</f>
        <v> </v>
      </c>
      <c r="J72" s="62" t="str">
        <f>IFERROR(__xludf.DUMMYFUNCTION("""COMPUTED_VALUE""")," ")</f>
        <v> </v>
      </c>
      <c r="K72" s="59" t="str">
        <f>IFERROR(__xludf.DUMMYFUNCTION("""COMPUTED_VALUE""")," ")</f>
        <v> </v>
      </c>
      <c r="L72" s="63" t="str">
        <f>IFERROR(__xludf.DUMMYFUNCTION("""COMPUTED_VALUE""")," ")</f>
        <v> </v>
      </c>
      <c r="M72" s="64" t="str">
        <f>IFERROR(__xludf.DUMMYFUNCTION("""COMPUTED_VALUE"""),"U: [1/3 W]; W: [1:1, $11.5]")</f>
        <v>U: [1/3 W]; W: [1:1, $11.5]</v>
      </c>
      <c r="N72" s="65" t="str">
        <f>IFERROR(__xludf.DUMMYFUNCTION("""COMPUTED_VALUE"""),"")</f>
        <v/>
      </c>
      <c r="O72" s="66" t="str">
        <f>IFERROR(__xludf.DUMMYFUNCTION("""COMPUTED_VALUE"""),"")</f>
        <v/>
      </c>
      <c r="P72" s="67"/>
      <c r="Q72" s="68">
        <f>IFERROR(__xludf.DUMMYFUNCTION("""COMPUTED_VALUE"""),150.0)</f>
        <v>150</v>
      </c>
      <c r="R72" s="69" t="str">
        <f>IFERROR(__xludf.DUMMYFUNCTION("""COMPUTED_VALUE"""),"Barclays, BMO Capital Markets")</f>
        <v>Barclays, BMO Capital Markets</v>
      </c>
      <c r="S72" s="64">
        <f>IFERROR(__xludf.DUMMYFUNCTION("""COMPUTED_VALUE"""),45086.0)</f>
        <v>45086</v>
      </c>
      <c r="T72" s="70" t="str">
        <f>IFERROR(__xludf.DUMMYFUNCTION("""COMPUTED_VALUE"""),"")</f>
        <v/>
      </c>
      <c r="U72" s="71" t="str">
        <f>IFERROR(__xludf.DUMMYFUNCTION("""COMPUTED_VALUE"""),"https://www.sec.gov/cgi-bin/browse-edgar?CIK=1839990")</f>
        <v>https://www.sec.gov/cgi-bin/browse-edgar?CIK=1839990</v>
      </c>
      <c r="V72" s="72" t="str">
        <f>IFERROR(__xludf.DUMMYFUNCTION("""COMPUTED_VALUE"""),"            ")</f>
        <v>            </v>
      </c>
      <c r="W72" s="73"/>
      <c r="X72" s="74"/>
      <c r="Y72" s="75"/>
      <c r="Z72" s="60"/>
      <c r="AA72" s="60"/>
      <c r="AB72" s="60"/>
      <c r="AC72" s="60"/>
      <c r="AD72" s="73"/>
      <c r="AE72" s="73"/>
      <c r="AF72" s="76"/>
      <c r="AG72" s="60"/>
    </row>
    <row r="73">
      <c r="A73" s="54" t="str">
        <f>IFERROR(__xludf.DUMMYFUNCTION("""COMPUTED_VALUE"""),"ARYA")</f>
        <v>ARYA</v>
      </c>
      <c r="B73" s="55" t="str">
        <f>IFERROR(__xludf.DUMMYFUNCTION("""COMPUTED_VALUE"""),"ARYA Sciences Acquisition Corp III")</f>
        <v>ARYA Sciences Acquisition Corp III</v>
      </c>
      <c r="C73" s="56" t="str">
        <f>IFERROR(__xludf.DUMMYFUNCTION("""COMPUTED_VALUE"""),"Definitive Agreement")</f>
        <v>Definitive Agreement</v>
      </c>
      <c r="D73" s="57" t="str">
        <f>IFERROR(__xludf.DUMMYFUNCTION("""COMPUTED_VALUE"""),"Healthcare")</f>
        <v>Healthcare</v>
      </c>
      <c r="E73" s="58" t="str">
        <f>IFERROR(__xludf.DUMMYFUNCTION("""COMPUTED_VALUE"""),"Nautilus Biotechnology [DA: 02/08/21]")</f>
        <v>Nautilus Biotechnology [DA: 02/08/21]</v>
      </c>
      <c r="F73" s="59" t="str">
        <f>IFERROR(__xludf.DUMMYFUNCTION("""COMPUTED_VALUE"""),"Perceptive Advisors")</f>
        <v>Perceptive Advisors</v>
      </c>
      <c r="G73" s="60">
        <f>IFERROR(__xludf.DUMMYFUNCTION("""COMPUTED_VALUE"""),1.49552952E8)</f>
        <v>149552952</v>
      </c>
      <c r="H73" s="60">
        <f>IFERROR(__xludf.DUMMYFUNCTION("""COMPUTED_VALUE"""),1.9604781E8)</f>
        <v>196047810</v>
      </c>
      <c r="I73" s="61">
        <f>IFERROR(__xludf.DUMMYFUNCTION("""COMPUTED_VALUE"""),12.69)</f>
        <v>12.69</v>
      </c>
      <c r="J73" s="62">
        <f>IFERROR(__xludf.DUMMYFUNCTION("""COMPUTED_VALUE"""),-0.02907)</f>
        <v>-0.02907</v>
      </c>
      <c r="K73" s="59" t="str">
        <f>IFERROR(__xludf.DUMMYFUNCTION("""COMPUTED_VALUE""")," ")</f>
        <v> </v>
      </c>
      <c r="L73" s="63" t="str">
        <f>IFERROR(__xludf.DUMMYFUNCTION("""COMPUTED_VALUE""")," ")</f>
        <v> </v>
      </c>
      <c r="M73" s="64" t="str">
        <f>IFERROR(__xludf.DUMMYFUNCTION("""COMPUTED_VALUE"""),"U: [No units]; W: [No warrants]")</f>
        <v>U: [No units]; W: [No warrants]</v>
      </c>
      <c r="N73" s="65" t="str">
        <f>IFERROR(__xludf.DUMMYFUNCTION("""COMPUTED_VALUE"""),"")</f>
        <v/>
      </c>
      <c r="O73" s="66" t="str">
        <f>IFERROR(__xludf.DUMMYFUNCTION("""COMPUTED_VALUE"""),"")</f>
        <v/>
      </c>
      <c r="P73" s="67">
        <f>IFERROR(__xludf.DUMMYFUNCTION("""COMPUTED_VALUE"""),44049.0)</f>
        <v>44049</v>
      </c>
      <c r="Q73" s="68">
        <f>IFERROR(__xludf.DUMMYFUNCTION("""COMPUTED_VALUE"""),149.5)</f>
        <v>149.5</v>
      </c>
      <c r="R73" s="69" t="str">
        <f>IFERROR(__xludf.DUMMYFUNCTION("""COMPUTED_VALUE"""),"Jefferies, Goldman Sachs")</f>
        <v>Jefferies, Goldman Sachs</v>
      </c>
      <c r="S73" s="64">
        <f>IFERROR(__xludf.DUMMYFUNCTION("""COMPUTED_VALUE"""),44779.0)</f>
        <v>44779</v>
      </c>
      <c r="T73" s="70">
        <f>IFERROR(__xludf.DUMMYFUNCTION("""COMPUTED_VALUE"""),0.33835616438356164)</f>
        <v>0.3383561644</v>
      </c>
      <c r="U73" s="71" t="str">
        <f>IFERROR(__xludf.DUMMYFUNCTION("""COMPUTED_VALUE"""),"https://www.sec.gov/cgi-bin/browse-edgar?CIK=1808805")</f>
        <v>https://www.sec.gov/cgi-bin/browse-edgar?CIK=1808805</v>
      </c>
      <c r="V73" s="72" t="str">
        <f>IFERROR(__xludf.DUMMYFUNCTION("""COMPUTED_VALUE"""),"     Optionable    Well-known Sponsor Serial Sponsor Top Tier UW ")</f>
        <v>     Optionable    Well-known Sponsor Serial Sponsor Top Tier UW </v>
      </c>
      <c r="W73" s="73">
        <f>IFERROR(__xludf.DUMMYFUNCTION("""COMPUTED_VALUE"""),44235.0)</f>
        <v>44235</v>
      </c>
      <c r="X73" s="79">
        <f>IFERROR(__xludf.DUMMYFUNCTION("""COMPUTED_VALUE"""),6.2)</f>
        <v>6.2</v>
      </c>
      <c r="Y73" s="80" t="str">
        <f>IFERROR(__xludf.DUMMYFUNCTION("""COMPUTED_VALUE"""),"https://www.businesswire.com/news/home/20210208005194/en/Next-Gen-Proteomics-Company-Nautilus-Biotechnology-to-List-on-Nasdaq-Through-Merger-with-Arya-Sciences-Acquisition-Corp-III")</f>
        <v>https://www.businesswire.com/news/home/20210208005194/en/Next-Gen-Proteomics-Company-Nautilus-Biotechnology-to-List-on-Nasdaq-Through-Merger-with-Arya-Sciences-Acquisition-Corp-III</v>
      </c>
      <c r="Z73" s="81" t="str">
        <f>IFERROR(__xludf.DUMMYFUNCTION("""COMPUTED_VALUE"""),"https://www.sec.gov/Archives/edgar/data/1808805/000114036121003650/brhc10019858_ex99-2.htm")</f>
        <v>https://www.sec.gov/Archives/edgar/data/1808805/000114036121003650/brhc10019858_ex99-2.htm</v>
      </c>
      <c r="AA73" s="60">
        <f>IFERROR(__xludf.DUMMYFUNCTION("""COMPUTED_VALUE"""),2.0E8)</f>
        <v>200000000</v>
      </c>
      <c r="AB73" s="60">
        <f>IFERROR(__xludf.DUMMYFUNCTION("""COMPUTED_VALUE"""),1.291865E9)</f>
        <v>1291865000</v>
      </c>
      <c r="AC73" s="60">
        <f>IFERROR(__xludf.DUMMYFUNCTION("""COMPUTED_VALUE"""),9.05365E8)</f>
        <v>905365000</v>
      </c>
      <c r="AD73" s="73"/>
      <c r="AE73" s="73"/>
      <c r="AF73" s="76">
        <f>IFERROR(__xludf.DUMMYFUNCTION("""COMPUTED_VALUE"""),1.291865E8)</f>
        <v>129186500</v>
      </c>
      <c r="AG73" s="60">
        <f>IFERROR(__xludf.DUMMYFUNCTION("""COMPUTED_VALUE"""),1.639376685E9)</f>
        <v>1639376685</v>
      </c>
    </row>
    <row r="74">
      <c r="A74" s="54" t="str">
        <f>IFERROR(__xludf.DUMMYFUNCTION("""COMPUTED_VALUE"""),"ARYD")</f>
        <v>ARYD</v>
      </c>
      <c r="B74" s="55" t="str">
        <f>IFERROR(__xludf.DUMMYFUNCTION("""COMPUTED_VALUE"""),"ARYA Sciences Acquisition Corp IV")</f>
        <v>ARYA Sciences Acquisition Corp IV</v>
      </c>
      <c r="C74" s="56" t="str">
        <f>IFERROR(__xludf.DUMMYFUNCTION("""COMPUTED_VALUE"""),"Searching")</f>
        <v>Searching</v>
      </c>
      <c r="D74" s="77" t="str">
        <f>IFERROR(__xludf.DUMMYFUNCTION("""COMPUTED_VALUE"""),"Healthcare")</f>
        <v>Healthcare</v>
      </c>
      <c r="E74" s="58"/>
      <c r="F74" s="59" t="str">
        <f>IFERROR(__xludf.DUMMYFUNCTION("""COMPUTED_VALUE"""),"Joseph Edelman (Founder/CEO, Perceptive Advisors)")</f>
        <v>Joseph Edelman (Founder/CEO, Perceptive Advisors)</v>
      </c>
      <c r="G74" s="60">
        <f>IFERROR(__xludf.DUMMYFUNCTION("""COMPUTED_VALUE"""),1.495E8)</f>
        <v>149500000</v>
      </c>
      <c r="H74" s="60">
        <f>IFERROR(__xludf.DUMMYFUNCTION("""COMPUTED_VALUE"""),1.44696346E8)</f>
        <v>144696346</v>
      </c>
      <c r="I74" s="61">
        <f>IFERROR(__xludf.DUMMYFUNCTION("""COMPUTED_VALUE"""),10.7501)</f>
        <v>10.7501</v>
      </c>
      <c r="J74" s="62">
        <f>IFERROR(__xludf.DUMMYFUNCTION("""COMPUTED_VALUE"""),-0.01103)</f>
        <v>-0.01103</v>
      </c>
      <c r="K74" s="59" t="str">
        <f>IFERROR(__xludf.DUMMYFUNCTION("""COMPUTED_VALUE""")," ")</f>
        <v> </v>
      </c>
      <c r="L74" s="63" t="str">
        <f>IFERROR(__xludf.DUMMYFUNCTION("""COMPUTED_VALUE""")," ")</f>
        <v> </v>
      </c>
      <c r="M74" s="64" t="str">
        <f>IFERROR(__xludf.DUMMYFUNCTION("""COMPUTED_VALUE"""),"U: [No units]; W: [No warrants]")</f>
        <v>U: [No units]; W: [No warrants]</v>
      </c>
      <c r="N74" s="65" t="str">
        <f>IFERROR(__xludf.DUMMYFUNCTION("""COMPUTED_VALUE"""),"")</f>
        <v/>
      </c>
      <c r="O74" s="66" t="str">
        <f>IFERROR(__xludf.DUMMYFUNCTION("""COMPUTED_VALUE"""),"")</f>
        <v/>
      </c>
      <c r="P74" s="67">
        <f>IFERROR(__xludf.DUMMYFUNCTION("""COMPUTED_VALUE"""),44252.0)</f>
        <v>44252</v>
      </c>
      <c r="Q74" s="68">
        <f>IFERROR(__xludf.DUMMYFUNCTION("""COMPUTED_VALUE"""),149.5)</f>
        <v>149.5</v>
      </c>
      <c r="R74" s="69" t="str">
        <f>IFERROR(__xludf.DUMMYFUNCTION("""COMPUTED_VALUE"""),"Credit Suisse, Citigroup, BofA Securities")</f>
        <v>Credit Suisse, Citigroup, BofA Securities</v>
      </c>
      <c r="S74" s="64">
        <f>IFERROR(__xludf.DUMMYFUNCTION("""COMPUTED_VALUE"""),44982.0)</f>
        <v>44982</v>
      </c>
      <c r="T74" s="70">
        <f>IFERROR(__xludf.DUMMYFUNCTION("""COMPUTED_VALUE"""),0.06027397260273973)</f>
        <v>0.0602739726</v>
      </c>
      <c r="U74" s="71" t="str">
        <f>IFERROR(__xludf.DUMMYFUNCTION("""COMPUTED_VALUE"""),"https://www.sec.gov/cgi-bin/browse-edgar?CIK=1838821")</f>
        <v>https://www.sec.gov/cgi-bin/browse-edgar?CIK=1838821</v>
      </c>
      <c r="V74" s="72" t="str">
        <f>IFERROR(__xludf.DUMMYFUNCTION("""COMPUTED_VALUE"""),"         Well-known Sponsor Serial Sponsor Top Tier UW ")</f>
        <v>         Well-known Sponsor Serial Sponsor Top Tier UW </v>
      </c>
      <c r="W74" s="73"/>
      <c r="X74" s="74"/>
      <c r="Y74" s="75"/>
      <c r="Z74" s="60"/>
      <c r="AA74" s="60"/>
      <c r="AB74" s="60"/>
      <c r="AC74" s="60"/>
      <c r="AD74" s="73"/>
      <c r="AE74" s="73"/>
      <c r="AF74" s="76"/>
      <c r="AG74" s="60"/>
    </row>
    <row r="75">
      <c r="A75" s="54" t="str">
        <f>IFERROR(__xludf.DUMMYFUNCTION("""COMPUTED_VALUE"""),"ASAQ")</f>
        <v>ASAQ</v>
      </c>
      <c r="B75" s="55" t="str">
        <f>IFERROR(__xludf.DUMMYFUNCTION("""COMPUTED_VALUE"""),"Atlantic Street Acquisition Corp")</f>
        <v>Atlantic Street Acquisition Corp</v>
      </c>
      <c r="C75" s="56" t="str">
        <f>IFERROR(__xludf.DUMMYFUNCTION("""COMPUTED_VALUE"""),"Searching")</f>
        <v>Searching</v>
      </c>
      <c r="D75" s="57"/>
      <c r="E75" s="58"/>
      <c r="F75" s="59"/>
      <c r="G75" s="60">
        <f>IFERROR(__xludf.DUMMYFUNCTION("""COMPUTED_VALUE"""),2.50004549E8)</f>
        <v>250004549</v>
      </c>
      <c r="H75" s="60">
        <f>IFERROR(__xludf.DUMMYFUNCTION("""COMPUTED_VALUE"""),2.495E8)</f>
        <v>249500000</v>
      </c>
      <c r="I75" s="61">
        <f>IFERROR(__xludf.DUMMYFUNCTION("""COMPUTED_VALUE"""),9.98)</f>
        <v>9.98</v>
      </c>
      <c r="J75" s="62">
        <f>IFERROR(__xludf.DUMMYFUNCTION("""COMPUTED_VALUE"""),0.00402)</f>
        <v>0.00402</v>
      </c>
      <c r="K75" s="59">
        <f>IFERROR(__xludf.DUMMYFUNCTION("""COMPUTED_VALUE"""),10.33)</f>
        <v>10.33</v>
      </c>
      <c r="L75" s="63">
        <f>IFERROR(__xludf.DUMMYFUNCTION("""COMPUTED_VALUE"""),0.73)</f>
        <v>0.73</v>
      </c>
      <c r="M75" s="64" t="str">
        <f>IFERROR(__xludf.DUMMYFUNCTION("""COMPUTED_VALUE"""),"U: [1/2 W]; W: [1:1, $11.5]")</f>
        <v>U: [1/2 W]; W: [1:1, $11.5]</v>
      </c>
      <c r="N75" s="65" t="str">
        <f>IFERROR(__xludf.DUMMYFUNCTION("""COMPUTED_VALUE"""),"")</f>
        <v/>
      </c>
      <c r="O75" s="66">
        <f>IFERROR(__xludf.DUMMYFUNCTION("""COMPUTED_VALUE"""),0.0)</f>
        <v>0</v>
      </c>
      <c r="P75" s="67">
        <f>IFERROR(__xludf.DUMMYFUNCTION("""COMPUTED_VALUE"""),44105.0)</f>
        <v>44105</v>
      </c>
      <c r="Q75" s="68">
        <f>IFERROR(__xludf.DUMMYFUNCTION("""COMPUTED_VALUE"""),250.0)</f>
        <v>250</v>
      </c>
      <c r="R75" s="69" t="str">
        <f>IFERROR(__xludf.DUMMYFUNCTION("""COMPUTED_VALUE"""),"Cowen")</f>
        <v>Cowen</v>
      </c>
      <c r="S75" s="64">
        <f>IFERROR(__xludf.DUMMYFUNCTION("""COMPUTED_VALUE"""),44835.0)</f>
        <v>44835</v>
      </c>
      <c r="T75" s="70">
        <f>IFERROR(__xludf.DUMMYFUNCTION("""COMPUTED_VALUE"""),0.26164383561643834)</f>
        <v>0.2616438356</v>
      </c>
      <c r="U75" s="71" t="str">
        <f>IFERROR(__xludf.DUMMYFUNCTION("""COMPUTED_VALUE"""),"https://www.sec.gov/cgi-bin/browse-edgar?CIK=1819510")</f>
        <v>https://www.sec.gov/cgi-bin/browse-edgar?CIK=1819510</v>
      </c>
      <c r="V75" s="72" t="str">
        <f>IFERROR(__xludf.DUMMYFUNCTION("""COMPUTED_VALUE""")," Trading Below $10 (Common)           ")</f>
        <v> Trading Below $10 (Common)           </v>
      </c>
      <c r="W75" s="73"/>
      <c r="X75" s="74"/>
      <c r="Y75" s="75"/>
      <c r="Z75" s="60"/>
      <c r="AA75" s="60"/>
      <c r="AB75" s="60"/>
      <c r="AC75" s="60"/>
      <c r="AD75" s="73"/>
      <c r="AE75" s="73"/>
      <c r="AF75" s="76"/>
      <c r="AG75" s="60" t="str">
        <f>IFERROR(__xludf.DUMMYFUNCTION("""COMPUTED_VALUE"""),"")</f>
        <v/>
      </c>
    </row>
    <row r="76">
      <c r="A76" s="54" t="str">
        <f>IFERROR(__xludf.DUMMYFUNCTION("""COMPUTED_VALUE"""),"ASAX")</f>
        <v>ASAX</v>
      </c>
      <c r="B76" s="55" t="str">
        <f>IFERROR(__xludf.DUMMYFUNCTION("""COMPUTED_VALUE"""),"Astrea Acquisition Corp.")</f>
        <v>Astrea Acquisition Corp.</v>
      </c>
      <c r="C76" s="56" t="str">
        <f>IFERROR(__xludf.DUMMYFUNCTION("""COMPUTED_VALUE"""),"Searching")</f>
        <v>Searching</v>
      </c>
      <c r="D76" s="57"/>
      <c r="E76" s="58"/>
      <c r="F76" s="59"/>
      <c r="G76" s="60">
        <f>IFERROR(__xludf.DUMMYFUNCTION("""COMPUTED_VALUE"""),1.5E8)</f>
        <v>150000000</v>
      </c>
      <c r="H76" s="60">
        <f>IFERROR(__xludf.DUMMYFUNCTION("""COMPUTED_VALUE"""),1.695675E8)</f>
        <v>169567500</v>
      </c>
      <c r="I76" s="61">
        <f>IFERROR(__xludf.DUMMYFUNCTION("""COMPUTED_VALUE"""),9.83)</f>
        <v>9.83</v>
      </c>
      <c r="J76" s="62">
        <f>IFERROR(__xludf.DUMMYFUNCTION("""COMPUTED_VALUE"""),0.00204)</f>
        <v>0.00204</v>
      </c>
      <c r="K76" s="59">
        <f>IFERROR(__xludf.DUMMYFUNCTION("""COMPUTED_VALUE"""),10.05)</f>
        <v>10.05</v>
      </c>
      <c r="L76" s="63">
        <f>IFERROR(__xludf.DUMMYFUNCTION("""COMPUTED_VALUE"""),0.54)</f>
        <v>0.54</v>
      </c>
      <c r="M76" s="64" t="str">
        <f>IFERROR(__xludf.DUMMYFUNCTION("""COMPUTED_VALUE"""),"U: [1/2 W]; W: [1:1, $11.5]")</f>
        <v>U: [1/2 W]; W: [1:1, $11.5]</v>
      </c>
      <c r="N76" s="65">
        <f>IFERROR(__xludf.DUMMYFUNCTION("""COMPUTED_VALUE"""),44270.0)</f>
        <v>44270</v>
      </c>
      <c r="O76" s="66">
        <f>IFERROR(__xludf.DUMMYFUNCTION("""COMPUTED_VALUE"""),0.0)</f>
        <v>0</v>
      </c>
      <c r="P76" s="67">
        <f>IFERROR(__xludf.DUMMYFUNCTION("""COMPUTED_VALUE"""),44230.0)</f>
        <v>44230</v>
      </c>
      <c r="Q76" s="68">
        <f>IFERROR(__xludf.DUMMYFUNCTION("""COMPUTED_VALUE"""),150.0)</f>
        <v>150</v>
      </c>
      <c r="R76" s="69" t="str">
        <f>IFERROR(__xludf.DUMMYFUNCTION("""COMPUTED_VALUE"""),"EarlyBirdCapital")</f>
        <v>EarlyBirdCapital</v>
      </c>
      <c r="S76" s="64">
        <f>IFERROR(__xludf.DUMMYFUNCTION("""COMPUTED_VALUE"""),44960.0)</f>
        <v>44960</v>
      </c>
      <c r="T76" s="70">
        <f>IFERROR(__xludf.DUMMYFUNCTION("""COMPUTED_VALUE"""),0.09041095890410959)</f>
        <v>0.0904109589</v>
      </c>
      <c r="U76" s="71" t="str">
        <f>IFERROR(__xludf.DUMMYFUNCTION("""COMPUTED_VALUE"""),"https://www.sec.gov/cgi-bin/browse-edgar?CIK=1824211")</f>
        <v>https://www.sec.gov/cgi-bin/browse-edgar?CIK=1824211</v>
      </c>
      <c r="V76" s="72" t="str">
        <f>IFERROR(__xludf.DUMMYFUNCTION("""COMPUTED_VALUE""")," Trading Below $10 (Common)           ")</f>
        <v> Trading Below $10 (Common)           </v>
      </c>
      <c r="W76" s="73"/>
      <c r="X76" s="74"/>
      <c r="Y76" s="75"/>
      <c r="Z76" s="60"/>
      <c r="AA76" s="60"/>
      <c r="AB76" s="60"/>
      <c r="AC76" s="60"/>
      <c r="AD76" s="73"/>
      <c r="AE76" s="73"/>
      <c r="AF76" s="76"/>
      <c r="AG76" s="60" t="str">
        <f>IFERROR(__xludf.DUMMYFUNCTION("""COMPUTED_VALUE"""),"")</f>
        <v/>
      </c>
    </row>
    <row r="77">
      <c r="A77" s="54" t="str">
        <f>IFERROR(__xludf.DUMMYFUNCTION("""COMPUTED_VALUE"""),"ASPC")</f>
        <v>ASPC</v>
      </c>
      <c r="B77" s="55" t="str">
        <f>IFERROR(__xludf.DUMMYFUNCTION("""COMPUTED_VALUE"""),"Alpha Capital Acquisition Co")</f>
        <v>Alpha Capital Acquisition Co</v>
      </c>
      <c r="C77" s="56" t="str">
        <f>IFERROR(__xludf.DUMMYFUNCTION("""COMPUTED_VALUE"""),"Searching (Pre Unit Split)")</f>
        <v>Searching (Pre Unit Split)</v>
      </c>
      <c r="D77" s="57" t="str">
        <f>IFERROR(__xludf.DUMMYFUNCTION("""COMPUTED_VALUE"""),"Tech, Latin America")</f>
        <v>Tech, Latin America</v>
      </c>
      <c r="E77" s="58"/>
      <c r="F77" s="59" t="str">
        <f>IFERROR(__xludf.DUMMYFUNCTION("""COMPUTED_VALUE"""),"Alec Carlos Francisco Oxenford (Co-founder/Fmr CEO, letgo)")</f>
        <v>Alec Carlos Francisco Oxenford (Co-founder/Fmr CEO, letgo)</v>
      </c>
      <c r="G77" s="60">
        <f>IFERROR(__xludf.DUMMYFUNCTION("""COMPUTED_VALUE"""),2.0E8)</f>
        <v>200000000</v>
      </c>
      <c r="H77" s="60" t="str">
        <f>IFERROR(__xludf.DUMMYFUNCTION("""COMPUTED_VALUE""")," ")</f>
        <v> </v>
      </c>
      <c r="I77" s="61" t="str">
        <f>IFERROR(__xludf.DUMMYFUNCTION("""COMPUTED_VALUE""")," ")</f>
        <v> </v>
      </c>
      <c r="J77" s="62" t="str">
        <f>IFERROR(__xludf.DUMMYFUNCTION("""COMPUTED_VALUE""")," ")</f>
        <v> </v>
      </c>
      <c r="K77" s="59">
        <f>IFERROR(__xludf.DUMMYFUNCTION("""COMPUTED_VALUE"""),10.1)</f>
        <v>10.1</v>
      </c>
      <c r="L77" s="63" t="str">
        <f>IFERROR(__xludf.DUMMYFUNCTION("""COMPUTED_VALUE""")," ")</f>
        <v> </v>
      </c>
      <c r="M77" s="64" t="str">
        <f>IFERROR(__xludf.DUMMYFUNCTION("""COMPUTED_VALUE"""),"U: [1/2 W]; W: [1:1, $11.5]")</f>
        <v>U: [1/2 W]; W: [1:1, $11.5]</v>
      </c>
      <c r="N77" s="65">
        <f>IFERROR(__xludf.DUMMYFUNCTION("""COMPUTED_VALUE"""),44297.0)</f>
        <v>44297</v>
      </c>
      <c r="O77" s="66" t="str">
        <f>IFERROR(__xludf.DUMMYFUNCTION("""COMPUTED_VALUE"""),"")</f>
        <v/>
      </c>
      <c r="P77" s="67">
        <f>IFERROR(__xludf.DUMMYFUNCTION("""COMPUTED_VALUE"""),44245.0)</f>
        <v>44245</v>
      </c>
      <c r="Q77" s="68">
        <f>IFERROR(__xludf.DUMMYFUNCTION("""COMPUTED_VALUE"""),200.0)</f>
        <v>200</v>
      </c>
      <c r="R77" s="69" t="str">
        <f>IFERROR(__xludf.DUMMYFUNCTION("""COMPUTED_VALUE"""),"Citigroup, BofA Securities")</f>
        <v>Citigroup, BofA Securities</v>
      </c>
      <c r="S77" s="64">
        <f>IFERROR(__xludf.DUMMYFUNCTION("""COMPUTED_VALUE"""),44975.0)</f>
        <v>44975</v>
      </c>
      <c r="T77" s="70">
        <f>IFERROR(__xludf.DUMMYFUNCTION("""COMPUTED_VALUE"""),0.06986301369863014)</f>
        <v>0.0698630137</v>
      </c>
      <c r="U77" s="71" t="str">
        <f>IFERROR(__xludf.DUMMYFUNCTION("""COMPUTED_VALUE"""),"https://www.sec.gov/cgi-bin/browse-edgar?CIK=1836547")</f>
        <v>https://www.sec.gov/cgi-bin/browse-edgar?CIK=1836547</v>
      </c>
      <c r="V77" s="72" t="str">
        <f>IFERROR(__xludf.DUMMYFUNCTION("""COMPUTED_VALUE"""),"           Top Tier UW ")</f>
        <v>           Top Tier UW </v>
      </c>
      <c r="W77" s="73"/>
      <c r="X77" s="74"/>
      <c r="Y77" s="75"/>
      <c r="Z77" s="60"/>
      <c r="AA77" s="60"/>
      <c r="AB77" s="60"/>
      <c r="AC77" s="60"/>
      <c r="AD77" s="73"/>
      <c r="AE77" s="73"/>
      <c r="AF77" s="76"/>
      <c r="AG77" s="60" t="str">
        <f>IFERROR(__xludf.DUMMYFUNCTION("""COMPUTED_VALUE"""),"")</f>
        <v/>
      </c>
    </row>
    <row r="78">
      <c r="A78" s="54" t="str">
        <f>IFERROR(__xludf.DUMMYFUNCTION("""COMPUTED_VALUE"""),"ASPL")</f>
        <v>ASPL</v>
      </c>
      <c r="B78" s="55" t="str">
        <f>IFERROR(__xludf.DUMMYFUNCTION("""COMPUTED_VALUE"""),"Aspirational Consumer Lifestyle Corp.")</f>
        <v>Aspirational Consumer Lifestyle Corp.</v>
      </c>
      <c r="C78" s="56" t="str">
        <f>IFERROR(__xludf.DUMMYFUNCTION("""COMPUTED_VALUE"""),"Definitive Agreement")</f>
        <v>Definitive Agreement</v>
      </c>
      <c r="D78" s="57" t="str">
        <f>IFERROR(__xludf.DUMMYFUNCTION("""COMPUTED_VALUE"""),"Consumer, Premium brands that offer an aspirational lifestyle experience")</f>
        <v>Consumer, Premium brands that offer an aspirational lifestyle experience</v>
      </c>
      <c r="E78" s="58" t="str">
        <f>IFERROR(__xludf.DUMMYFUNCTION("""COMPUTED_VALUE"""),"Wheels Up [DA: 02/01/21]")</f>
        <v>Wheels Up [DA: 02/01/21]</v>
      </c>
      <c r="F78" s="59" t="str">
        <f>IFERROR(__xludf.DUMMYFUNCTION("""COMPUTED_VALUE"""),"Ravi Thakran (South Asia Group Chairman of LVMH, Chairman L Catterton Asia)")</f>
        <v>Ravi Thakran (South Asia Group Chairman of LVMH, Chairman L Catterton Asia)</v>
      </c>
      <c r="G78" s="60">
        <f>IFERROR(__xludf.DUMMYFUNCTION("""COMPUTED_VALUE"""),2.24973645E8)</f>
        <v>224973645</v>
      </c>
      <c r="H78" s="60">
        <f>IFERROR(__xludf.DUMMYFUNCTION("""COMPUTED_VALUE"""),2.4238353E8)</f>
        <v>242383530</v>
      </c>
      <c r="I78" s="61">
        <f>IFERROR(__xludf.DUMMYFUNCTION("""COMPUTED_VALUE"""),10.11)</f>
        <v>10.11</v>
      </c>
      <c r="J78" s="62">
        <f>IFERROR(__xludf.DUMMYFUNCTION("""COMPUTED_VALUE"""),0.00198)</f>
        <v>0.00198</v>
      </c>
      <c r="K78" s="59">
        <f>IFERROR(__xludf.DUMMYFUNCTION("""COMPUTED_VALUE"""),10.57)</f>
        <v>10.57</v>
      </c>
      <c r="L78" s="63">
        <f>IFERROR(__xludf.DUMMYFUNCTION("""COMPUTED_VALUE"""),1.42)</f>
        <v>1.42</v>
      </c>
      <c r="M78" s="64" t="str">
        <f>IFERROR(__xludf.DUMMYFUNCTION("""COMPUTED_VALUE"""),"U: [1/3 W]; W: [1:1, $11.5]")</f>
        <v>U: [1/3 W]; W: [1:1, $11.5]</v>
      </c>
      <c r="N78" s="65" t="str">
        <f>IFERROR(__xludf.DUMMYFUNCTION("""COMPUTED_VALUE"""),"")</f>
        <v/>
      </c>
      <c r="O78" s="66">
        <f>IFERROR(__xludf.DUMMYFUNCTION("""COMPUTED_VALUE"""),0.0)</f>
        <v>0</v>
      </c>
      <c r="P78" s="67">
        <f>IFERROR(__xludf.DUMMYFUNCTION("""COMPUTED_VALUE"""),44097.0)</f>
        <v>44097</v>
      </c>
      <c r="Q78" s="68">
        <f>IFERROR(__xludf.DUMMYFUNCTION("""COMPUTED_VALUE"""),225.0)</f>
        <v>225</v>
      </c>
      <c r="R78" s="69" t="str">
        <f>IFERROR(__xludf.DUMMYFUNCTION("""COMPUTED_VALUE"""),"Credit Suisse")</f>
        <v>Credit Suisse</v>
      </c>
      <c r="S78" s="64">
        <f>IFERROR(__xludf.DUMMYFUNCTION("""COMPUTED_VALUE"""),44827.0)</f>
        <v>44827</v>
      </c>
      <c r="T78" s="70">
        <f>IFERROR(__xludf.DUMMYFUNCTION("""COMPUTED_VALUE"""),0.2726027397260274)</f>
        <v>0.2726027397</v>
      </c>
      <c r="U78" s="71" t="str">
        <f>IFERROR(__xludf.DUMMYFUNCTION("""COMPUTED_VALUE"""),"https://www.sec.gov/cgi-bin/browse-edgar?CIK=1819516")</f>
        <v>https://www.sec.gov/cgi-bin/browse-edgar?CIK=1819516</v>
      </c>
      <c r="V78" s="72" t="str">
        <f>IFERROR(__xludf.DUMMYFUNCTION("""COMPUTED_VALUE"""),"Aerospace            ")</f>
        <v>Aerospace            </v>
      </c>
      <c r="W78" s="73">
        <f>IFERROR(__xludf.DUMMYFUNCTION("""COMPUTED_VALUE"""),44228.0)</f>
        <v>44228</v>
      </c>
      <c r="X78" s="79">
        <f>IFERROR(__xludf.DUMMYFUNCTION("""COMPUTED_VALUE"""),4.366666666666666)</f>
        <v>4.366666667</v>
      </c>
      <c r="Y78" s="80" t="str">
        <f>IFERROR(__xludf.DUMMYFUNCTION("""COMPUTED_VALUE"""),"https://www.prnewswire.com/news-releases/wheels-up-the-leading-brand-in-private-aviation-announces-plans-to-become-publicly-traded-via-spac-merger-with-aspirational-consumer-lifestyle-corp-301218662.html")</f>
        <v>https://www.prnewswire.com/news-releases/wheels-up-the-leading-brand-in-private-aviation-announces-plans-to-become-publicly-traded-via-spac-merger-with-aspirational-consumer-lifestyle-corp-301218662.html</v>
      </c>
      <c r="Z78" s="81" t="str">
        <f>IFERROR(__xludf.DUMMYFUNCTION("""COMPUTED_VALUE"""),"https://www.sec.gov/Archives/edgar/data/1819516/000110465921009670/tm214639d1_ex99-2.htm")</f>
        <v>https://www.sec.gov/Archives/edgar/data/1819516/000110465921009670/tm214639d1_ex99-2.htm</v>
      </c>
      <c r="AA78" s="60">
        <f>IFERROR(__xludf.DUMMYFUNCTION("""COMPUTED_VALUE"""),5.5E8)</f>
        <v>550000000</v>
      </c>
      <c r="AB78" s="60">
        <f>IFERROR(__xludf.DUMMYFUNCTION("""COMPUTED_VALUE"""),2.735E9)</f>
        <v>2735000000</v>
      </c>
      <c r="AC78" s="60">
        <f>IFERROR(__xludf.DUMMYFUNCTION("""COMPUTED_VALUE"""),2.091E9)</f>
        <v>2091000000</v>
      </c>
      <c r="AD78" s="73"/>
      <c r="AE78" s="73"/>
      <c r="AF78" s="76">
        <f>IFERROR(__xludf.DUMMYFUNCTION("""COMPUTED_VALUE"""),2.735E8)</f>
        <v>273500000</v>
      </c>
      <c r="AG78" s="60">
        <f>IFERROR(__xludf.DUMMYFUNCTION("""COMPUTED_VALUE"""),2.765085E9)</f>
        <v>2765085000</v>
      </c>
    </row>
    <row r="79">
      <c r="A79" s="54" t="str">
        <f>IFERROR(__xludf.DUMMYFUNCTION("""COMPUTED_VALUE"""),"ASZ")</f>
        <v>ASZ</v>
      </c>
      <c r="B79" s="55" t="str">
        <f>IFERROR(__xludf.DUMMYFUNCTION("""COMPUTED_VALUE"""),"Austerlitz Acquisition Corp II")</f>
        <v>Austerlitz Acquisition Corp II</v>
      </c>
      <c r="C79" s="56" t="str">
        <f>IFERROR(__xludf.DUMMYFUNCTION("""COMPUTED_VALUE"""),"Searching (Pre Unit Split)")</f>
        <v>Searching (Pre Unit Split)</v>
      </c>
      <c r="D79" s="57" t="str">
        <f>IFERROR(__xludf.DUMMYFUNCTION("""COMPUTED_VALUE"""),"Fintech")</f>
        <v>Fintech</v>
      </c>
      <c r="E79" s="58"/>
      <c r="F79" s="59" t="str">
        <f>IFERROR(__xludf.DUMMYFUNCTION("""COMPUTED_VALUE"""),"Bill Foley (Founder/Chairman of Fidelity National Financial, Chairman of Cannae Holdings, Owner of NHL Team: Vegas Golden Knights)")</f>
        <v>Bill Foley (Founder/Chairman of Fidelity National Financial, Chairman of Cannae Holdings, Owner of NHL Team: Vegas Golden Knights)</v>
      </c>
      <c r="G79" s="60">
        <f>IFERROR(__xludf.DUMMYFUNCTION("""COMPUTED_VALUE"""),1.38E9)</f>
        <v>1380000000</v>
      </c>
      <c r="H79" s="60" t="str">
        <f>IFERROR(__xludf.DUMMYFUNCTION("""COMPUTED_VALUE""")," ")</f>
        <v> </v>
      </c>
      <c r="I79" s="61" t="str">
        <f>IFERROR(__xludf.DUMMYFUNCTION("""COMPUTED_VALUE""")," ")</f>
        <v> </v>
      </c>
      <c r="J79" s="62" t="str">
        <f>IFERROR(__xludf.DUMMYFUNCTION("""COMPUTED_VALUE""")," ")</f>
        <v> </v>
      </c>
      <c r="K79" s="59">
        <f>IFERROR(__xludf.DUMMYFUNCTION("""COMPUTED_VALUE"""),10.24)</f>
        <v>10.24</v>
      </c>
      <c r="L79" s="63" t="str">
        <f>IFERROR(__xludf.DUMMYFUNCTION("""COMPUTED_VALUE""")," ")</f>
        <v> </v>
      </c>
      <c r="M79" s="64" t="str">
        <f>IFERROR(__xludf.DUMMYFUNCTION("""COMPUTED_VALUE"""),"U: [1/4 W]; W: [1:1, $11.5]")</f>
        <v>U: [1/4 W]; W: [1:1, $11.5]</v>
      </c>
      <c r="N79" s="65">
        <f>IFERROR(__xludf.DUMMYFUNCTION("""COMPUTED_VALUE"""),44304.0)</f>
        <v>44304</v>
      </c>
      <c r="O79" s="66" t="str">
        <f>IFERROR(__xludf.DUMMYFUNCTION("""COMPUTED_VALUE"""),"")</f>
        <v/>
      </c>
      <c r="P79" s="67">
        <f>IFERROR(__xludf.DUMMYFUNCTION("""COMPUTED_VALUE"""),44252.0)</f>
        <v>44252</v>
      </c>
      <c r="Q79" s="68">
        <f>IFERROR(__xludf.DUMMYFUNCTION("""COMPUTED_VALUE"""),1380.0)</f>
        <v>1380</v>
      </c>
      <c r="R79" s="69" t="str">
        <f>IFERROR(__xludf.DUMMYFUNCTION("""COMPUTED_VALUE"""),"Credit Suisse, BofA Securities, J.P. Morgan")</f>
        <v>Credit Suisse, BofA Securities, J.P. Morgan</v>
      </c>
      <c r="S79" s="64">
        <f>IFERROR(__xludf.DUMMYFUNCTION("""COMPUTED_VALUE"""),44982.0)</f>
        <v>44982</v>
      </c>
      <c r="T79" s="70">
        <f>IFERROR(__xludf.DUMMYFUNCTION("""COMPUTED_VALUE"""),0.06027397260273973)</f>
        <v>0.0602739726</v>
      </c>
      <c r="U79" s="71" t="str">
        <f>IFERROR(__xludf.DUMMYFUNCTION("""COMPUTED_VALUE"""),"https://www.sec.gov/cgi-bin/browse-edgar?CIK=1839191")</f>
        <v>https://www.sec.gov/cgi-bin/browse-edgar?CIK=1839191</v>
      </c>
      <c r="V79" s="72" t="str">
        <f>IFERROR(__xludf.DUMMYFUNCTION("""COMPUTED_VALUE"""),"   $500M+ Trust     Well-known Sponsor Serial Sponsor Top Tier UW ")</f>
        <v>   $500M+ Trust     Well-known Sponsor Serial Sponsor Top Tier UW </v>
      </c>
      <c r="W79" s="73"/>
      <c r="X79" s="74"/>
      <c r="Y79" s="75"/>
      <c r="Z79" s="60"/>
      <c r="AA79" s="60"/>
      <c r="AB79" s="60"/>
      <c r="AC79" s="60"/>
      <c r="AD79" s="73"/>
      <c r="AE79" s="73"/>
      <c r="AF79" s="76"/>
      <c r="AG79" s="60"/>
    </row>
    <row r="80">
      <c r="A80" s="54" t="str">
        <f>IFERROR(__xludf.DUMMYFUNCTION("""COMPUTED_VALUE"""),"ATA")</f>
        <v>ATA</v>
      </c>
      <c r="B80" s="55" t="str">
        <f>IFERROR(__xludf.DUMMYFUNCTION("""COMPUTED_VALUE"""),"Americas Technology Acquisition Corp")</f>
        <v>Americas Technology Acquisition Corp</v>
      </c>
      <c r="C80" s="56" t="str">
        <f>IFERROR(__xludf.DUMMYFUNCTION("""COMPUTED_VALUE"""),"Searching")</f>
        <v>Searching</v>
      </c>
      <c r="D80" s="57" t="str">
        <f>IFERROR(__xludf.DUMMYFUNCTION("""COMPUTED_VALUE"""),"TMT")</f>
        <v>TMT</v>
      </c>
      <c r="E80" s="58"/>
      <c r="F80" s="59"/>
      <c r="G80" s="60">
        <f>IFERROR(__xludf.DUMMYFUNCTION("""COMPUTED_VALUE"""),1.16151909E8)</f>
        <v>116151909</v>
      </c>
      <c r="H80" s="60">
        <f>IFERROR(__xludf.DUMMYFUNCTION("""COMPUTED_VALUE"""),1.4413E8)</f>
        <v>144130000</v>
      </c>
      <c r="I80" s="61">
        <f>IFERROR(__xludf.DUMMYFUNCTION("""COMPUTED_VALUE"""),9.94)</f>
        <v>9.94</v>
      </c>
      <c r="J80" s="62">
        <f>IFERROR(__xludf.DUMMYFUNCTION("""COMPUTED_VALUE"""),-0.00101)</f>
        <v>-0.00101</v>
      </c>
      <c r="K80" s="59">
        <f>IFERROR(__xludf.DUMMYFUNCTION("""COMPUTED_VALUE"""),10.3979)</f>
        <v>10.3979</v>
      </c>
      <c r="L80" s="63">
        <f>IFERROR(__xludf.DUMMYFUNCTION("""COMPUTED_VALUE"""),0.6187)</f>
        <v>0.6187</v>
      </c>
      <c r="M80" s="64" t="str">
        <f>IFERROR(__xludf.DUMMYFUNCTION("""COMPUTED_VALUE"""),"U: [1/2 W]; W: [1:1, $11.5]")</f>
        <v>U: [1/2 W]; W: [1:1, $11.5]</v>
      </c>
      <c r="N80" s="65" t="str">
        <f>IFERROR(__xludf.DUMMYFUNCTION("""COMPUTED_VALUE"""),"")</f>
        <v/>
      </c>
      <c r="O80" s="66">
        <f>IFERROR(__xludf.DUMMYFUNCTION("""COMPUTED_VALUE"""),0.0)</f>
        <v>0</v>
      </c>
      <c r="P80" s="67">
        <f>IFERROR(__xludf.DUMMYFUNCTION("""COMPUTED_VALUE"""),44179.0)</f>
        <v>44179</v>
      </c>
      <c r="Q80" s="68">
        <f>IFERROR(__xludf.DUMMYFUNCTION("""COMPUTED_VALUE"""),116.15)</f>
        <v>116.15</v>
      </c>
      <c r="R80" s="69" t="str">
        <f>IFERROR(__xludf.DUMMYFUNCTION("""COMPUTED_VALUE"""),"EarlyBirdCapital")</f>
        <v>EarlyBirdCapital</v>
      </c>
      <c r="S80" s="64">
        <f>IFERROR(__xludf.DUMMYFUNCTION("""COMPUTED_VALUE"""),44544.0)</f>
        <v>44544</v>
      </c>
      <c r="T80" s="70">
        <f>IFERROR(__xludf.DUMMYFUNCTION("""COMPUTED_VALUE"""),0.32054794520547947)</f>
        <v>0.3205479452</v>
      </c>
      <c r="U80" s="71" t="str">
        <f>IFERROR(__xludf.DUMMYFUNCTION("""COMPUTED_VALUE"""),"https://www.sec.gov/cgi-bin/browse-edgar?CIK=1825254")</f>
        <v>https://www.sec.gov/cgi-bin/browse-edgar?CIK=1825254</v>
      </c>
      <c r="V80" s="72" t="str">
        <f>IFERROR(__xludf.DUMMYFUNCTION("""COMPUTED_VALUE""")," Trading Below $10 (Common)           ")</f>
        <v> Trading Below $10 (Common)           </v>
      </c>
      <c r="W80" s="73"/>
      <c r="X80" s="74"/>
      <c r="Y80" s="75"/>
      <c r="Z80" s="60"/>
      <c r="AA80" s="60"/>
      <c r="AB80" s="60"/>
      <c r="AC80" s="60"/>
      <c r="AD80" s="73"/>
      <c r="AE80" s="73"/>
      <c r="AF80" s="76"/>
      <c r="AG80" s="60" t="str">
        <f>IFERROR(__xludf.DUMMYFUNCTION("""COMPUTED_VALUE"""),"")</f>
        <v/>
      </c>
    </row>
    <row r="81">
      <c r="A81" s="54" t="str">
        <f>IFERROR(__xludf.DUMMYFUNCTION("""COMPUTED_VALUE"""),"ATAC")</f>
        <v>ATAC</v>
      </c>
      <c r="B81" s="55" t="str">
        <f>IFERROR(__xludf.DUMMYFUNCTION("""COMPUTED_VALUE"""),"Altimar Acquisition Corp")</f>
        <v>Altimar Acquisition Corp</v>
      </c>
      <c r="C81" s="56" t="str">
        <f>IFERROR(__xludf.DUMMYFUNCTION("""COMPUTED_VALUE"""),"Definitive Agreement")</f>
        <v>Definitive Agreement</v>
      </c>
      <c r="D81" s="57"/>
      <c r="E81" s="58" t="str">
        <f>IFERROR(__xludf.DUMMYFUNCTION("""COMPUTED_VALUE"""),"Owl Rock Capital Group and Dyal Capital Partners [DA: 12/23/20]")</f>
        <v>Owl Rock Capital Group and Dyal Capital Partners [DA: 12/23/20]</v>
      </c>
      <c r="F81" s="59" t="str">
        <f>IFERROR(__xludf.DUMMYFUNCTION("""COMPUTED_VALUE"""),"Tom Wasserman (Managing Director, HPS Investment Partners; Director, Trine Acquisition), Roma Khanna (Former President, MGM Studios Television Group and Digital)")</f>
        <v>Tom Wasserman (Managing Director, HPS Investment Partners; Director, Trine Acquisition), Roma Khanna (Former President, MGM Studios Television Group and Digital)</v>
      </c>
      <c r="G81" s="60">
        <f>IFERROR(__xludf.DUMMYFUNCTION("""COMPUTED_VALUE"""),2.75038028E8)</f>
        <v>275038028</v>
      </c>
      <c r="H81" s="60">
        <f>IFERROR(__xludf.DUMMYFUNCTION("""COMPUTED_VALUE"""),2.74725E8)</f>
        <v>274725000</v>
      </c>
      <c r="I81" s="61">
        <f>IFERROR(__xludf.DUMMYFUNCTION("""COMPUTED_VALUE"""),9.99)</f>
        <v>9.99</v>
      </c>
      <c r="J81" s="62"/>
      <c r="K81" s="59">
        <f>IFERROR(__xludf.DUMMYFUNCTION("""COMPUTED_VALUE"""),10.4)</f>
        <v>10.4</v>
      </c>
      <c r="L81" s="63">
        <f>IFERROR(__xludf.DUMMYFUNCTION("""COMPUTED_VALUE"""),1.425)</f>
        <v>1.425</v>
      </c>
      <c r="M81" s="64" t="str">
        <f>IFERROR(__xludf.DUMMYFUNCTION("""COMPUTED_VALUE"""),"U: [1/3 W]; W: [1:1, $11.5]")</f>
        <v>U: [1/3 W]; W: [1:1, $11.5]</v>
      </c>
      <c r="N81" s="65" t="str">
        <f>IFERROR(__xludf.DUMMYFUNCTION("""COMPUTED_VALUE"""),"")</f>
        <v/>
      </c>
      <c r="O81" s="66">
        <f>IFERROR(__xludf.DUMMYFUNCTION("""COMPUTED_VALUE"""),0.0)</f>
        <v>0</v>
      </c>
      <c r="P81" s="67">
        <f>IFERROR(__xludf.DUMMYFUNCTION("""COMPUTED_VALUE"""),44126.0)</f>
        <v>44126</v>
      </c>
      <c r="Q81" s="68">
        <f>IFERROR(__xludf.DUMMYFUNCTION("""COMPUTED_VALUE"""),275.0)</f>
        <v>275</v>
      </c>
      <c r="R81" s="69" t="str">
        <f>IFERROR(__xludf.DUMMYFUNCTION("""COMPUTED_VALUE"""),"Goldman Sachs")</f>
        <v>Goldman Sachs</v>
      </c>
      <c r="S81" s="64">
        <f>IFERROR(__xludf.DUMMYFUNCTION("""COMPUTED_VALUE"""),44856.0)</f>
        <v>44856</v>
      </c>
      <c r="T81" s="70">
        <f>IFERROR(__xludf.DUMMYFUNCTION("""COMPUTED_VALUE"""),0.2328767123287671)</f>
        <v>0.2328767123</v>
      </c>
      <c r="U81" s="71" t="str">
        <f>IFERROR(__xludf.DUMMYFUNCTION("""COMPUTED_VALUE"""),"https://www.sec.gov/cgi-bin/browse-edgar?CIK=1823945")</f>
        <v>https://www.sec.gov/cgi-bin/browse-edgar?CIK=1823945</v>
      </c>
      <c r="V81" s="72" t="str">
        <f>IFERROR(__xludf.DUMMYFUNCTION("""COMPUTED_VALUE""")," Trading Below $10 (Common)    Optionable    Well-known Sponsor Serial Sponsor Top Tier UW ")</f>
        <v> Trading Below $10 (Common)    Optionable    Well-known Sponsor Serial Sponsor Top Tier UW </v>
      </c>
      <c r="W81" s="73">
        <f>IFERROR(__xludf.DUMMYFUNCTION("""COMPUTED_VALUE"""),44188.0)</f>
        <v>44188</v>
      </c>
      <c r="X81" s="79">
        <f>IFERROR(__xludf.DUMMYFUNCTION("""COMPUTED_VALUE"""),2.066666666666667)</f>
        <v>2.066666667</v>
      </c>
      <c r="Y81" s="80" t="str">
        <f>IFERROR(__xludf.DUMMYFUNCTION("""COMPUTED_VALUE"""),"https://www.businesswire.com/news/home/20201223005263/en/Owl-Rock-Capital-Group-and-Dyal-Capital-Partners-Execute-Definitive-Business-Combination-Agreement-to-Form-Blue-Owl-Capital-and-List-on-NYSE-via-a-Business-Combination-with-Altimar-Acquisition-Corpo"&amp;"ration")</f>
        <v>https://www.businesswire.com/news/home/20201223005263/en/Owl-Rock-Capital-Group-and-Dyal-Capital-Partners-Execute-Definitive-Business-Combination-Agreement-to-Form-Blue-Owl-Capital-and-List-on-NYSE-via-a-Business-Combination-with-Altimar-Acquisition-Corporation</v>
      </c>
      <c r="Z81" s="81" t="str">
        <f>IFERROR(__xludf.DUMMYFUNCTION("""COMPUTED_VALUE"""),"https://www.sec.gov/Archives/edgar/data/1823945/000119312520325370/d55795dex993.htm")</f>
        <v>https://www.sec.gov/Archives/edgar/data/1823945/000119312520325370/d55795dex993.htm</v>
      </c>
      <c r="AA81" s="60">
        <f>IFERROR(__xludf.DUMMYFUNCTION("""COMPUTED_VALUE"""),1.5E9)</f>
        <v>1500000000</v>
      </c>
      <c r="AB81" s="60">
        <f>IFERROR(__xludf.DUMMYFUNCTION("""COMPUTED_VALUE"""),1.2521E10)</f>
        <v>12521000000</v>
      </c>
      <c r="AC81" s="60">
        <f>IFERROR(__xludf.DUMMYFUNCTION("""COMPUTED_VALUE"""),1.2702E10)</f>
        <v>12702000000</v>
      </c>
      <c r="AD81" s="73"/>
      <c r="AE81" s="73"/>
      <c r="AF81" s="76">
        <f>IFERROR(__xludf.DUMMYFUNCTION("""COMPUTED_VALUE"""),1.2521E9)</f>
        <v>1252100000</v>
      </c>
      <c r="AG81" s="60">
        <f>IFERROR(__xludf.DUMMYFUNCTION("""COMPUTED_VALUE"""),1.2508479E10)</f>
        <v>12508479000</v>
      </c>
    </row>
    <row r="82">
      <c r="A82" s="54" t="str">
        <f>IFERROR(__xludf.DUMMYFUNCTION("""COMPUTED_VALUE"""),"ATAQ")</f>
        <v>ATAQ</v>
      </c>
      <c r="B82" s="55" t="str">
        <f>IFERROR(__xludf.DUMMYFUNCTION("""COMPUTED_VALUE"""),"Altimar Acquisition Corp. III")</f>
        <v>Altimar Acquisition Corp. III</v>
      </c>
      <c r="C82" s="56" t="str">
        <f>IFERROR(__xludf.DUMMYFUNCTION("""COMPUTED_VALUE"""),"Searching (Pre Unit Split)")</f>
        <v>Searching (Pre Unit Split)</v>
      </c>
      <c r="D82" s="57"/>
      <c r="E82" s="58"/>
      <c r="F82" s="59" t="str">
        <f>IFERROR(__xludf.DUMMYFUNCTION("""COMPUTED_VALUE"""),"Tom Wasserman (Managing Director, HPS Investment Partners; Director, Trine Acquisition), Roma Khanna (Former President, MGM Studios Television Group and Digital)")</f>
        <v>Tom Wasserman (Managing Director, HPS Investment Partners; Director, Trine Acquisition), Roma Khanna (Former President, MGM Studios Television Group and Digital)</v>
      </c>
      <c r="G82" s="60">
        <f>IFERROR(__xludf.DUMMYFUNCTION("""COMPUTED_VALUE"""),1.5525E8)</f>
        <v>155250000</v>
      </c>
      <c r="H82" s="60" t="str">
        <f>IFERROR(__xludf.DUMMYFUNCTION("""COMPUTED_VALUE""")," ")</f>
        <v> </v>
      </c>
      <c r="I82" s="61" t="str">
        <f>IFERROR(__xludf.DUMMYFUNCTION("""COMPUTED_VALUE""")," ")</f>
        <v> </v>
      </c>
      <c r="J82" s="62" t="str">
        <f>IFERROR(__xludf.DUMMYFUNCTION("""COMPUTED_VALUE""")," ")</f>
        <v> </v>
      </c>
      <c r="K82" s="59">
        <f>IFERROR(__xludf.DUMMYFUNCTION("""COMPUTED_VALUE"""),10.12)</f>
        <v>10.12</v>
      </c>
      <c r="L82" s="63" t="str">
        <f>IFERROR(__xludf.DUMMYFUNCTION("""COMPUTED_VALUE""")," ")</f>
        <v> </v>
      </c>
      <c r="M82" s="64" t="str">
        <f>IFERROR(__xludf.DUMMYFUNCTION("""COMPUTED_VALUE"""),"U: [1/4 W]; W: [1:1, $11.5]")</f>
        <v>U: [1/4 W]; W: [1:1, $11.5]</v>
      </c>
      <c r="N82" s="65">
        <f>IFERROR(__xludf.DUMMYFUNCTION("""COMPUTED_VALUE"""),44311.0)</f>
        <v>44311</v>
      </c>
      <c r="O82" s="66" t="str">
        <f>IFERROR(__xludf.DUMMYFUNCTION("""COMPUTED_VALUE"""),"")</f>
        <v/>
      </c>
      <c r="P82" s="67">
        <f>IFERROR(__xludf.DUMMYFUNCTION("""COMPUTED_VALUE"""),44259.0)</f>
        <v>44259</v>
      </c>
      <c r="Q82" s="68">
        <f>IFERROR(__xludf.DUMMYFUNCTION("""COMPUTED_VALUE"""),155.25)</f>
        <v>155.25</v>
      </c>
      <c r="R82" s="69" t="str">
        <f>IFERROR(__xludf.DUMMYFUNCTION("""COMPUTED_VALUE"""),"Goldman Sachs, JP Morgan")</f>
        <v>Goldman Sachs, JP Morgan</v>
      </c>
      <c r="S82" s="64">
        <f>IFERROR(__xludf.DUMMYFUNCTION("""COMPUTED_VALUE"""),44989.0)</f>
        <v>44989</v>
      </c>
      <c r="T82" s="70">
        <f>IFERROR(__xludf.DUMMYFUNCTION("""COMPUTED_VALUE"""),0.050684931506849315)</f>
        <v>0.05068493151</v>
      </c>
      <c r="U82" s="71" t="str">
        <f>IFERROR(__xludf.DUMMYFUNCTION("""COMPUTED_VALUE"""),"https://www.sec.gov/cgi-bin/browse-edgar?CIK=1841004")</f>
        <v>https://www.sec.gov/cgi-bin/browse-edgar?CIK=1841004</v>
      </c>
      <c r="V82" s="72" t="str">
        <f>IFERROR(__xludf.DUMMYFUNCTION("""COMPUTED_VALUE"""),"         Well-known Sponsor Serial Sponsor Top Tier UW ")</f>
        <v>         Well-known Sponsor Serial Sponsor Top Tier UW </v>
      </c>
      <c r="W82" s="73"/>
      <c r="X82" s="74"/>
      <c r="Y82" s="75"/>
      <c r="Z82" s="60"/>
      <c r="AA82" s="60"/>
      <c r="AB82" s="60"/>
      <c r="AC82" s="60"/>
      <c r="AD82" s="73"/>
      <c r="AE82" s="73"/>
      <c r="AF82" s="76"/>
      <c r="AG82" s="60" t="str">
        <f>IFERROR(__xludf.DUMMYFUNCTION("""COMPUTED_VALUE"""),"")</f>
        <v/>
      </c>
    </row>
    <row r="83">
      <c r="A83" s="54" t="str">
        <f>IFERROR(__xludf.DUMMYFUNCTION("""COMPUTED_VALUE"""),"ATHN")</f>
        <v>ATHN</v>
      </c>
      <c r="B83" s="55" t="str">
        <f>IFERROR(__xludf.DUMMYFUNCTION("""COMPUTED_VALUE"""),"Athena Technology Acquisition Corp.")</f>
        <v>Athena Technology Acquisition Corp.</v>
      </c>
      <c r="C83" s="56" t="str">
        <f>IFERROR(__xludf.DUMMYFUNCTION("""COMPUTED_VALUE"""),"Searching (Pre Unit Split)")</f>
        <v>Searching (Pre Unit Split)</v>
      </c>
      <c r="D83" s="57" t="str">
        <f>IFERROR(__xludf.DUMMYFUNCTION("""COMPUTED_VALUE"""),"Tech, Direct to Consumer, Fintech")</f>
        <v>Tech, Direct to Consumer, Fintech</v>
      </c>
      <c r="E83" s="58"/>
      <c r="F83" s="59" t="str">
        <f>IFERROR(__xludf.DUMMYFUNCTION("""COMPUTED_VALUE"""),"Isbelle Freidheim (Co-founder/MP, Starwood VC), Judith Rodin (Fmr President, The Rockefeller Foundation; Fmr Director, Comcast &amp; American Airlines), Kristen Dickey (Director, BNY Mellon)")</f>
        <v>Isbelle Freidheim (Co-founder/MP, Starwood VC), Judith Rodin (Fmr President, The Rockefeller Foundation; Fmr Director, Comcast &amp; American Airlines), Kristen Dickey (Director, BNY Mellon)</v>
      </c>
      <c r="G83" s="60">
        <f>IFERROR(__xludf.DUMMYFUNCTION("""COMPUTED_VALUE"""),2.5E8)</f>
        <v>250000000</v>
      </c>
      <c r="H83" s="60" t="str">
        <f>IFERROR(__xludf.DUMMYFUNCTION("""COMPUTED_VALUE""")," ")</f>
        <v> </v>
      </c>
      <c r="I83" s="61" t="str">
        <f>IFERROR(__xludf.DUMMYFUNCTION("""COMPUTED_VALUE""")," ")</f>
        <v> </v>
      </c>
      <c r="J83" s="62" t="str">
        <f>IFERROR(__xludf.DUMMYFUNCTION("""COMPUTED_VALUE""")," ")</f>
        <v> </v>
      </c>
      <c r="K83" s="59">
        <f>IFERROR(__xludf.DUMMYFUNCTION("""COMPUTED_VALUE"""),9.98)</f>
        <v>9.98</v>
      </c>
      <c r="L83" s="63" t="str">
        <f>IFERROR(__xludf.DUMMYFUNCTION("""COMPUTED_VALUE""")," ")</f>
        <v> </v>
      </c>
      <c r="M83" s="64" t="str">
        <f>IFERROR(__xludf.DUMMYFUNCTION("""COMPUTED_VALUE"""),"U: [1/3 W]; W: [1:1, $11.5]")</f>
        <v>U: [1/3 W]; W: [1:1, $11.5]</v>
      </c>
      <c r="N83" s="65">
        <f>IFERROR(__xludf.DUMMYFUNCTION("""COMPUTED_VALUE"""),44323.0)</f>
        <v>44323</v>
      </c>
      <c r="O83" s="66" t="str">
        <f>IFERROR(__xludf.DUMMYFUNCTION("""COMPUTED_VALUE"""),"")</f>
        <v/>
      </c>
      <c r="P83" s="67">
        <f>IFERROR(__xludf.DUMMYFUNCTION("""COMPUTED_VALUE"""),44271.0)</f>
        <v>44271</v>
      </c>
      <c r="Q83" s="68">
        <f>IFERROR(__xludf.DUMMYFUNCTION("""COMPUTED_VALUE"""),250.0)</f>
        <v>250</v>
      </c>
      <c r="R83" s="69" t="str">
        <f>IFERROR(__xludf.DUMMYFUNCTION("""COMPUTED_VALUE"""),"Citigroup")</f>
        <v>Citigroup</v>
      </c>
      <c r="S83" s="64">
        <f>IFERROR(__xludf.DUMMYFUNCTION("""COMPUTED_VALUE"""),45001.0)</f>
        <v>45001</v>
      </c>
      <c r="T83" s="70">
        <f>IFERROR(__xludf.DUMMYFUNCTION("""COMPUTED_VALUE"""),0.03424657534246575)</f>
        <v>0.03424657534</v>
      </c>
      <c r="U83" s="71" t="str">
        <f>IFERROR(__xludf.DUMMYFUNCTION("""COMPUTED_VALUE"""),"https://www.sec.gov/cgi-bin/browse-edgar?CIK=1840292")</f>
        <v>https://www.sec.gov/cgi-bin/browse-edgar?CIK=1840292</v>
      </c>
      <c r="V83" s="72" t="str">
        <f>IFERROR(__xludf.DUMMYFUNCTION("""COMPUTED_VALUE"""),"         Well-known Sponsor  Top Tier UW ")</f>
        <v>         Well-known Sponsor  Top Tier UW </v>
      </c>
      <c r="W83" s="73"/>
      <c r="X83" s="74"/>
      <c r="Y83" s="75"/>
      <c r="Z83" s="60"/>
      <c r="AA83" s="60"/>
      <c r="AB83" s="60"/>
      <c r="AC83" s="60"/>
      <c r="AD83" s="73"/>
      <c r="AE83" s="73"/>
      <c r="AF83" s="76"/>
      <c r="AG83" s="60"/>
    </row>
    <row r="84">
      <c r="A84" s="54" t="str">
        <f>IFERROR(__xludf.DUMMYFUNCTION("""COMPUTED_VALUE"""),"ATMR")</f>
        <v>ATMR</v>
      </c>
      <c r="B84" s="55" t="str">
        <f>IFERROR(__xludf.DUMMYFUNCTION("""COMPUTED_VALUE"""),"Altimar Acquisition Corp. II")</f>
        <v>Altimar Acquisition Corp. II</v>
      </c>
      <c r="C84" s="56" t="str">
        <f>IFERROR(__xludf.DUMMYFUNCTION("""COMPUTED_VALUE"""),"Searching")</f>
        <v>Searching</v>
      </c>
      <c r="D84" s="57"/>
      <c r="E84" s="58" t="str">
        <f>IFERROR(__xludf.DUMMYFUNCTION("""COMPUTED_VALUE"""),"[In talks (unconfirmed) with Shutterfly: Per WSJ 3/4/21]")</f>
        <v>[In talks (unconfirmed) with Shutterfly: Per WSJ 3/4/21]</v>
      </c>
      <c r="F84" s="59" t="str">
        <f>IFERROR(__xludf.DUMMYFUNCTION("""COMPUTED_VALUE"""),"Tom Wasserman (Managing Director, HPS Investment Partners; Director, Trine Acquisition), Roma Khanna (Former President, MGM Studios Television Group and Digital)")</f>
        <v>Tom Wasserman (Managing Director, HPS Investment Partners; Director, Trine Acquisition), Roma Khanna (Former President, MGM Studios Television Group and Digital)</v>
      </c>
      <c r="G84" s="60">
        <f>IFERROR(__xludf.DUMMYFUNCTION("""COMPUTED_VALUE"""),3.45E8)</f>
        <v>345000000</v>
      </c>
      <c r="H84" s="60"/>
      <c r="I84" s="61">
        <f>IFERROR(__xludf.DUMMYFUNCTION("""COMPUTED_VALUE"""),9.87)</f>
        <v>9.87</v>
      </c>
      <c r="J84" s="62">
        <f>IFERROR(__xludf.DUMMYFUNCTION("""COMPUTED_VALUE"""),0.00612)</f>
        <v>0.00612</v>
      </c>
      <c r="K84" s="59">
        <f>IFERROR(__xludf.DUMMYFUNCTION("""COMPUTED_VALUE"""),10.14)</f>
        <v>10.14</v>
      </c>
      <c r="L84" s="63">
        <f>IFERROR(__xludf.DUMMYFUNCTION("""COMPUTED_VALUE"""),1.08)</f>
        <v>1.08</v>
      </c>
      <c r="M84" s="64" t="str">
        <f>IFERROR(__xludf.DUMMYFUNCTION("""COMPUTED_VALUE"""),"U: [1/4 W]; W: [1:1, $11.5]")</f>
        <v>U: [1/4 W]; W: [1:1, $11.5]</v>
      </c>
      <c r="N84" s="65" t="str">
        <f>IFERROR(__xludf.DUMMYFUNCTION("""COMPUTED_VALUE"""),"")</f>
        <v/>
      </c>
      <c r="O84" s="66">
        <f>IFERROR(__xludf.DUMMYFUNCTION("""COMPUTED_VALUE"""),0.0)</f>
        <v>0</v>
      </c>
      <c r="P84" s="67">
        <f>IFERROR(__xludf.DUMMYFUNCTION("""COMPUTED_VALUE"""),44231.0)</f>
        <v>44231</v>
      </c>
      <c r="Q84" s="68">
        <f>IFERROR(__xludf.DUMMYFUNCTION("""COMPUTED_VALUE"""),345.0)</f>
        <v>345</v>
      </c>
      <c r="R84" s="69" t="str">
        <f>IFERROR(__xludf.DUMMYFUNCTION("""COMPUTED_VALUE"""),"Goldman Sachs, JP Morgan")</f>
        <v>Goldman Sachs, JP Morgan</v>
      </c>
      <c r="S84" s="64">
        <f>IFERROR(__xludf.DUMMYFUNCTION("""COMPUTED_VALUE"""),44961.0)</f>
        <v>44961</v>
      </c>
      <c r="T84" s="70">
        <f>IFERROR(__xludf.DUMMYFUNCTION("""COMPUTED_VALUE"""),0.08904109589041095)</f>
        <v>0.08904109589</v>
      </c>
      <c r="U84" s="71" t="str">
        <f>IFERROR(__xludf.DUMMYFUNCTION("""COMPUTED_VALUE"""),"https://www.sec.gov/cgi-bin/browse-edgar?CIK=1836176")</f>
        <v>https://www.sec.gov/cgi-bin/browse-edgar?CIK=1836176</v>
      </c>
      <c r="V84" s="72" t="str">
        <f>IFERROR(__xludf.DUMMYFUNCTION("""COMPUTED_VALUE""")," Trading Below $10 (Common)        Well-known Sponsor Serial Sponsor Top Tier UW ")</f>
        <v> Trading Below $10 (Common)        Well-known Sponsor Serial Sponsor Top Tier UW </v>
      </c>
      <c r="W84" s="73"/>
      <c r="X84" s="74"/>
      <c r="Y84" s="75"/>
      <c r="Z84" s="60"/>
      <c r="AA84" s="60"/>
      <c r="AB84" s="60"/>
      <c r="AC84" s="60"/>
      <c r="AD84" s="73"/>
      <c r="AE84" s="73"/>
      <c r="AF84" s="76"/>
      <c r="AG84" s="60" t="str">
        <f>IFERROR(__xludf.DUMMYFUNCTION("""COMPUTED_VALUE"""),"")</f>
        <v/>
      </c>
    </row>
    <row r="85">
      <c r="A85" s="54" t="str">
        <f>IFERROR(__xludf.DUMMYFUNCTION("""COMPUTED_VALUE"""),"ATSP")</f>
        <v>ATSP</v>
      </c>
      <c r="B85" s="55" t="str">
        <f>IFERROR(__xludf.DUMMYFUNCTION("""COMPUTED_VALUE"""),"Archimedes Tech Spac Partners Co")</f>
        <v>Archimedes Tech Spac Partners Co</v>
      </c>
      <c r="C85" s="56" t="str">
        <f>IFERROR(__xludf.DUMMYFUNCTION("""COMPUTED_VALUE"""),"Searching (Pre Unit Split)")</f>
        <v>Searching (Pre Unit Split)</v>
      </c>
      <c r="D85" s="77" t="str">
        <f>IFERROR(__xludf.DUMMYFUNCTION("""COMPUTED_VALUE"""),"Tech (artificial intelligence, cloud services and automotive tech)")</f>
        <v>Tech (artificial intelligence, cloud services and automotive tech)</v>
      </c>
      <c r="E85" s="58"/>
      <c r="F85" s="59" t="str">
        <f>IFERROR(__xludf.DUMMYFUNCTION("""COMPUTED_VALUE"""),"Dr. Luc Julia (CTO, Samsung Electronics), Brent Callinicos (Fmr COO &amp; CFO, Virgin Hyperloop One)")</f>
        <v>Dr. Luc Julia (CTO, Samsung Electronics), Brent Callinicos (Fmr COO &amp; CFO, Virgin Hyperloop One)</v>
      </c>
      <c r="G85" s="60">
        <f>IFERROR(__xludf.DUMMYFUNCTION("""COMPUTED_VALUE"""),1.205E8)</f>
        <v>120500000</v>
      </c>
      <c r="H85" s="60" t="str">
        <f>IFERROR(__xludf.DUMMYFUNCTION("""COMPUTED_VALUE""")," ")</f>
        <v> </v>
      </c>
      <c r="I85" s="61" t="str">
        <f>IFERROR(__xludf.DUMMYFUNCTION("""COMPUTED_VALUE""")," ")</f>
        <v> </v>
      </c>
      <c r="J85" s="62" t="str">
        <f>IFERROR(__xludf.DUMMYFUNCTION("""COMPUTED_VALUE""")," ")</f>
        <v> </v>
      </c>
      <c r="K85" s="59">
        <f>IFERROR(__xludf.DUMMYFUNCTION("""COMPUTED_VALUE"""),9.95)</f>
        <v>9.95</v>
      </c>
      <c r="L85" s="63" t="str">
        <f>IFERROR(__xludf.DUMMYFUNCTION("""COMPUTED_VALUE""")," ")</f>
        <v> </v>
      </c>
      <c r="M85" s="64" t="str">
        <f>IFERROR(__xludf.DUMMYFUNCTION("""COMPUTED_VALUE"""),"U: [1 SU (1 C, 1/4 W), 1/4 W]; W: [1:1, $11.5]")</f>
        <v>U: [1 SU (1 C, 1/4 W), 1/4 W]; W: [1:1, $11.5]</v>
      </c>
      <c r="N85" s="65">
        <f>IFERROR(__xludf.DUMMYFUNCTION("""COMPUTED_VALUE"""),44355.0)</f>
        <v>44355</v>
      </c>
      <c r="O85" s="66" t="str">
        <f>IFERROR(__xludf.DUMMYFUNCTION("""COMPUTED_VALUE"""),"")</f>
        <v/>
      </c>
      <c r="P85" s="67">
        <f>IFERROR(__xludf.DUMMYFUNCTION("""COMPUTED_VALUE"""),44265.0)</f>
        <v>44265</v>
      </c>
      <c r="Q85" s="68">
        <f>IFERROR(__xludf.DUMMYFUNCTION("""COMPUTED_VALUE"""),120.5)</f>
        <v>120.5</v>
      </c>
      <c r="R85" s="69" t="str">
        <f>IFERROR(__xludf.DUMMYFUNCTION("""COMPUTED_VALUE"""),"EarlyBirdCapital, Inc., I-Bankers Securities, Inc.")</f>
        <v>EarlyBirdCapital, Inc., I-Bankers Securities, Inc.</v>
      </c>
      <c r="S85" s="64">
        <f>IFERROR(__xludf.DUMMYFUNCTION("""COMPUTED_VALUE"""),44995.0)</f>
        <v>44995</v>
      </c>
      <c r="T85" s="70">
        <f>IFERROR(__xludf.DUMMYFUNCTION("""COMPUTED_VALUE"""),0.04246575342465753)</f>
        <v>0.04246575342</v>
      </c>
      <c r="U85" s="71" t="str">
        <f>IFERROR(__xludf.DUMMYFUNCTION("""COMPUTED_VALUE"""),"https://www.sec.gov/cgi-bin/browse-edgar?CIK=1840856")</f>
        <v>https://www.sec.gov/cgi-bin/browse-edgar?CIK=1840856</v>
      </c>
      <c r="V85" s="72" t="str">
        <f>IFERROR(__xludf.DUMMYFUNCTION("""COMPUTED_VALUE"""),"            ")</f>
        <v>            </v>
      </c>
      <c r="W85" s="73"/>
      <c r="X85" s="74"/>
      <c r="Y85" s="75"/>
      <c r="Z85" s="60"/>
      <c r="AA85" s="60"/>
      <c r="AB85" s="60"/>
      <c r="AC85" s="60"/>
      <c r="AD85" s="73"/>
      <c r="AE85" s="73"/>
      <c r="AF85" s="76"/>
      <c r="AG85" s="60"/>
    </row>
    <row r="86">
      <c r="A86" s="54" t="str">
        <f>IFERROR(__xludf.DUMMYFUNCTION("""COMPUTED_VALUE"""),"ATVC")</f>
        <v>ATVC</v>
      </c>
      <c r="B86" s="55" t="str">
        <f>IFERROR(__xludf.DUMMYFUNCTION("""COMPUTED_VALUE"""),"Tribe Capital Growth Corp I")</f>
        <v>Tribe Capital Growth Corp I</v>
      </c>
      <c r="C86" s="56" t="str">
        <f>IFERROR(__xludf.DUMMYFUNCTION("""COMPUTED_VALUE"""),"Searching (Pre Unit Split)")</f>
        <v>Searching (Pre Unit Split)</v>
      </c>
      <c r="D86" s="57" t="str">
        <f>IFERROR(__xludf.DUMMYFUNCTION("""COMPUTED_VALUE"""),"Tech")</f>
        <v>Tech</v>
      </c>
      <c r="E86" s="58"/>
      <c r="F86" s="59" t="str">
        <f>IFERROR(__xludf.DUMMYFUNCTION("""COMPUTED_VALUE"""),"Arjun Sethi (Co-founder, Tribe Capital; Fmr Partner, Social Capital), Richard Peretz (Fmr CFO, UPS), Henry Ward (CEO, Carta), Anthony “Pomp” Pompliano (Director of BlockFi), Kat Cole (COO of Focus Brands)")</f>
        <v>Arjun Sethi (Co-founder, Tribe Capital; Fmr Partner, Social Capital), Richard Peretz (Fmr CFO, UPS), Henry Ward (CEO, Carta), Anthony “Pomp” Pompliano (Director of BlockFi), Kat Cole (COO of Focus Brands)</v>
      </c>
      <c r="G86" s="60">
        <f>IFERROR(__xludf.DUMMYFUNCTION("""COMPUTED_VALUE"""),2.76E8)</f>
        <v>276000000</v>
      </c>
      <c r="H86" s="60" t="str">
        <f>IFERROR(__xludf.DUMMYFUNCTION("""COMPUTED_VALUE""")," ")</f>
        <v> </v>
      </c>
      <c r="I86" s="61" t="str">
        <f>IFERROR(__xludf.DUMMYFUNCTION("""COMPUTED_VALUE""")," ")</f>
        <v> </v>
      </c>
      <c r="J86" s="62" t="str">
        <f>IFERROR(__xludf.DUMMYFUNCTION("""COMPUTED_VALUE""")," ")</f>
        <v> </v>
      </c>
      <c r="K86" s="59">
        <f>IFERROR(__xludf.DUMMYFUNCTION("""COMPUTED_VALUE"""),10.24)</f>
        <v>10.24</v>
      </c>
      <c r="L86" s="63" t="str">
        <f>IFERROR(__xludf.DUMMYFUNCTION("""COMPUTED_VALUE""")," ")</f>
        <v> </v>
      </c>
      <c r="M86" s="64" t="str">
        <f>IFERROR(__xludf.DUMMYFUNCTION("""COMPUTED_VALUE"""),"U: [1/4 W]; W: [1:1, $11.5]")</f>
        <v>U: [1/4 W]; W: [1:1, $11.5]</v>
      </c>
      <c r="N86" s="65">
        <f>IFERROR(__xludf.DUMMYFUNCTION("""COMPUTED_VALUE"""),44311.0)</f>
        <v>44311</v>
      </c>
      <c r="O86" s="66" t="str">
        <f>IFERROR(__xludf.DUMMYFUNCTION("""COMPUTED_VALUE"""),"")</f>
        <v/>
      </c>
      <c r="P86" s="67">
        <f>IFERROR(__xludf.DUMMYFUNCTION("""COMPUTED_VALUE"""),44259.0)</f>
        <v>44259</v>
      </c>
      <c r="Q86" s="68">
        <f>IFERROR(__xludf.DUMMYFUNCTION("""COMPUTED_VALUE"""),276.0)</f>
        <v>276</v>
      </c>
      <c r="R86" s="69" t="str">
        <f>IFERROR(__xludf.DUMMYFUNCTION("""COMPUTED_VALUE"""),"Cantor")</f>
        <v>Cantor</v>
      </c>
      <c r="S86" s="64">
        <f>IFERROR(__xludf.DUMMYFUNCTION("""COMPUTED_VALUE"""),44989.0)</f>
        <v>44989</v>
      </c>
      <c r="T86" s="70">
        <f>IFERROR(__xludf.DUMMYFUNCTION("""COMPUTED_VALUE"""),0.050684931506849315)</f>
        <v>0.05068493151</v>
      </c>
      <c r="U86" s="71" t="str">
        <f>IFERROR(__xludf.DUMMYFUNCTION("""COMPUTED_VALUE"""),"https://www.sec.gov/cgi-bin/browse-edgar?CIK=1831874")</f>
        <v>https://www.sec.gov/cgi-bin/browse-edgar?CIK=1831874</v>
      </c>
      <c r="V86" s="72" t="str">
        <f>IFERROR(__xludf.DUMMYFUNCTION("""COMPUTED_VALUE"""),"Venture Capital         Well-known Sponsor   ")</f>
        <v>Venture Capital         Well-known Sponsor   </v>
      </c>
      <c r="W86" s="73"/>
      <c r="X86" s="74"/>
      <c r="Y86" s="75"/>
      <c r="Z86" s="60"/>
      <c r="AA86" s="60"/>
      <c r="AB86" s="60"/>
      <c r="AC86" s="60"/>
      <c r="AD86" s="73"/>
      <c r="AE86" s="73"/>
      <c r="AF86" s="76"/>
      <c r="AG86" s="60" t="str">
        <f>IFERROR(__xludf.DUMMYFUNCTION("""COMPUTED_VALUE"""),"")</f>
        <v/>
      </c>
    </row>
    <row r="87">
      <c r="A87" s="54" t="str">
        <f>IFERROR(__xludf.DUMMYFUNCTION("""COMPUTED_VALUE"""),"ATWO")</f>
        <v>ATWO</v>
      </c>
      <c r="B87" s="55" t="str">
        <f>IFERROR(__xludf.DUMMYFUNCTION("""COMPUTED_VALUE"""),"Acies Acquisition Corp. II")</f>
        <v>Acies Acquisition Corp. II</v>
      </c>
      <c r="C87" s="56" t="str">
        <f>IFERROR(__xludf.DUMMYFUNCTION("""COMPUTED_VALUE"""),"Pre IPO")</f>
        <v>Pre IPO</v>
      </c>
      <c r="D87" s="57" t="str">
        <f>IFERROR(__xludf.DUMMYFUNCTION("""COMPUTED_VALUE"""),"Live, location-based, and mobile experiential entertainment")</f>
        <v>Live, location-based, and mobile experiential entertainment</v>
      </c>
      <c r="E87" s="58"/>
      <c r="F87" s="59" t="str">
        <f>IFERROR(__xludf.DUMMYFUNCTION("""COMPUTED_VALUE"""),"James Murren (Former CEO of MGM Resorts International and Co-chair of Cirque du Soleil), Sam Kennedy (CEO of the Boston Red Rox), Curtis Polk (Managing Partner of Hornets Sports &amp; Entertainment and the manager of Michael Jordan’s financial and business af"&amp;"fairs)")</f>
        <v>James Murren (Former CEO of MGM Resorts International and Co-chair of Cirque du Soleil), Sam Kennedy (CEO of the Boston Red Rox), Curtis Polk (Managing Partner of Hornets Sports &amp; Entertainment and the manager of Michael Jordan’s financial and business affairs)</v>
      </c>
      <c r="G87" s="60">
        <f>IFERROR(__xludf.DUMMYFUNCTION("""COMPUTED_VALUE"""),2.5E8)</f>
        <v>250000000</v>
      </c>
      <c r="H87" s="60" t="str">
        <f>IFERROR(__xludf.DUMMYFUNCTION("""COMPUTED_VALUE""")," ")</f>
        <v> </v>
      </c>
      <c r="I87" s="61" t="str">
        <f>IFERROR(__xludf.DUMMYFUNCTION("""COMPUTED_VALUE""")," ")</f>
        <v> </v>
      </c>
      <c r="J87" s="62" t="str">
        <f>IFERROR(__xludf.DUMMYFUNCTION("""COMPUTED_VALUE""")," ")</f>
        <v> </v>
      </c>
      <c r="K87" s="59" t="str">
        <f>IFERROR(__xludf.DUMMYFUNCTION("""COMPUTED_VALUE""")," ")</f>
        <v> </v>
      </c>
      <c r="L87" s="63" t="str">
        <f>IFERROR(__xludf.DUMMYFUNCTION("""COMPUTED_VALUE""")," ")</f>
        <v> </v>
      </c>
      <c r="M87" s="64" t="str">
        <f>IFERROR(__xludf.DUMMYFUNCTION("""COMPUTED_VALUE"""),"U: [1/4 W]; W: [1:1, $11.5]")</f>
        <v>U: [1/4 W]; W: [1:1, $11.5]</v>
      </c>
      <c r="N87" s="65" t="str">
        <f>IFERROR(__xludf.DUMMYFUNCTION("""COMPUTED_VALUE"""),"")</f>
        <v/>
      </c>
      <c r="O87" s="66">
        <f>IFERROR(__xludf.DUMMYFUNCTION("""COMPUTED_VALUE"""),0.0)</f>
        <v>0</v>
      </c>
      <c r="P87" s="67"/>
      <c r="Q87" s="68">
        <f>IFERROR(__xludf.DUMMYFUNCTION("""COMPUTED_VALUE"""),250.0)</f>
        <v>250</v>
      </c>
      <c r="R87" s="69" t="str">
        <f>IFERROR(__xludf.DUMMYFUNCTION("""COMPUTED_VALUE"""),"Morgan Stanley, J.P. Morgan, Oppenheimer &amp; Co.")</f>
        <v>Morgan Stanley, J.P. Morgan, Oppenheimer &amp; Co.</v>
      </c>
      <c r="S87" s="64">
        <f>IFERROR(__xludf.DUMMYFUNCTION("""COMPUTED_VALUE"""),45086.0)</f>
        <v>45086</v>
      </c>
      <c r="T87" s="70" t="str">
        <f>IFERROR(__xludf.DUMMYFUNCTION("""COMPUTED_VALUE"""),"")</f>
        <v/>
      </c>
      <c r="U87" s="71" t="str">
        <f>IFERROR(__xludf.DUMMYFUNCTION("""COMPUTED_VALUE"""),"https://www.sec.gov/cgi-bin/browse-edgar?CIK=1844940")</f>
        <v>https://www.sec.gov/cgi-bin/browse-edgar?CIK=1844940</v>
      </c>
      <c r="V87" s="72" t="str">
        <f>IFERROR(__xludf.DUMMYFUNCTION("""COMPUTED_VALUE"""),"         Well-known Sponsor  Top Tier UW ")</f>
        <v>         Well-known Sponsor  Top Tier UW </v>
      </c>
      <c r="W87" s="73"/>
      <c r="X87" s="74"/>
      <c r="Y87" s="75"/>
      <c r="Z87" s="60"/>
      <c r="AA87" s="60"/>
      <c r="AB87" s="60"/>
      <c r="AC87" s="60"/>
      <c r="AD87" s="73"/>
      <c r="AE87" s="73"/>
      <c r="AF87" s="76"/>
      <c r="AG87" s="60"/>
    </row>
    <row r="88">
      <c r="A88" s="54" t="str">
        <f>IFERROR(__xludf.DUMMYFUNCTION("""COMPUTED_VALUE"""),"AURC")</f>
        <v>AURC</v>
      </c>
      <c r="B88" s="55" t="str">
        <f>IFERROR(__xludf.DUMMYFUNCTION("""COMPUTED_VALUE"""),"Aurora Acquisition Corp.")</f>
        <v>Aurora Acquisition Corp.</v>
      </c>
      <c r="C88" s="56" t="str">
        <f>IFERROR(__xludf.DUMMYFUNCTION("""COMPUTED_VALUE"""),"Searching (Pre Unit Split)")</f>
        <v>Searching (Pre Unit Split)</v>
      </c>
      <c r="D88" s="77" t="str">
        <f>IFERROR(__xludf.DUMMYFUNCTION("""COMPUTED_VALUE"""),"Technology, Media (Europe, Middle East, &amp; Africa)")</f>
        <v>Technology, Media (Europe, Middle East, &amp; Africa)</v>
      </c>
      <c r="E88" s="58"/>
      <c r="F88" s="59" t="str">
        <f>IFERROR(__xludf.DUMMYFUNCTION("""COMPUTED_VALUE"""),"Thor Björgólfsson (Chairman, Novator)")</f>
        <v>Thor Björgólfsson (Chairman, Novator)</v>
      </c>
      <c r="G88" s="60">
        <f>IFERROR(__xludf.DUMMYFUNCTION("""COMPUTED_VALUE"""),2.57E8)</f>
        <v>257000000</v>
      </c>
      <c r="H88" s="60" t="str">
        <f>IFERROR(__xludf.DUMMYFUNCTION("""COMPUTED_VALUE""")," ")</f>
        <v> </v>
      </c>
      <c r="I88" s="61" t="str">
        <f>IFERROR(__xludf.DUMMYFUNCTION("""COMPUTED_VALUE""")," ")</f>
        <v> </v>
      </c>
      <c r="J88" s="62" t="str">
        <f>IFERROR(__xludf.DUMMYFUNCTION("""COMPUTED_VALUE""")," ")</f>
        <v> </v>
      </c>
      <c r="K88" s="59">
        <f>IFERROR(__xludf.DUMMYFUNCTION("""COMPUTED_VALUE"""),10.34)</f>
        <v>10.34</v>
      </c>
      <c r="L88" s="63" t="str">
        <f>IFERROR(__xludf.DUMMYFUNCTION("""COMPUTED_VALUE""")," ")</f>
        <v> </v>
      </c>
      <c r="M88" s="64" t="str">
        <f>IFERROR(__xludf.DUMMYFUNCTION("""COMPUTED_VALUE"""),"U: [1/4 W]; W: [1:1, $11.5]")</f>
        <v>U: [1/4 W]; W: [1:1, $11.5]</v>
      </c>
      <c r="N88" s="65">
        <f>IFERROR(__xludf.DUMMYFUNCTION("""COMPUTED_VALUE"""),44310.0)</f>
        <v>44310</v>
      </c>
      <c r="O88" s="66" t="str">
        <f>IFERROR(__xludf.DUMMYFUNCTION("""COMPUTED_VALUE"""),"")</f>
        <v/>
      </c>
      <c r="P88" s="67">
        <f>IFERROR(__xludf.DUMMYFUNCTION("""COMPUTED_VALUE"""),44258.0)</f>
        <v>44258</v>
      </c>
      <c r="Q88" s="68">
        <f>IFERROR(__xludf.DUMMYFUNCTION("""COMPUTED_VALUE"""),257.0)</f>
        <v>257</v>
      </c>
      <c r="R88" s="69" t="str">
        <f>IFERROR(__xludf.DUMMYFUNCTION("""COMPUTED_VALUE"""),"Barclays")</f>
        <v>Barclays</v>
      </c>
      <c r="S88" s="64">
        <f>IFERROR(__xludf.DUMMYFUNCTION("""COMPUTED_VALUE"""),44988.0)</f>
        <v>44988</v>
      </c>
      <c r="T88" s="70">
        <f>IFERROR(__xludf.DUMMYFUNCTION("""COMPUTED_VALUE"""),0.052054794520547946)</f>
        <v>0.05205479452</v>
      </c>
      <c r="U88" s="71" t="str">
        <f>IFERROR(__xludf.DUMMYFUNCTION("""COMPUTED_VALUE"""),"https://www.sec.gov/cgi-bin/browse-edgar?CIK=1835856")</f>
        <v>https://www.sec.gov/cgi-bin/browse-edgar?CIK=1835856</v>
      </c>
      <c r="V88" s="72" t="str">
        <f>IFERROR(__xludf.DUMMYFUNCTION("""COMPUTED_VALUE"""),"            ")</f>
        <v>            </v>
      </c>
      <c r="W88" s="73"/>
      <c r="X88" s="74"/>
      <c r="Y88" s="75"/>
      <c r="Z88" s="60"/>
      <c r="AA88" s="60"/>
      <c r="AB88" s="60"/>
      <c r="AC88" s="60"/>
      <c r="AD88" s="73"/>
      <c r="AE88" s="73"/>
      <c r="AF88" s="76"/>
      <c r="AG88" s="60"/>
    </row>
    <row r="89">
      <c r="A89" s="54" t="str">
        <f>IFERROR(__xludf.DUMMYFUNCTION("""COMPUTED_VALUE"""),"AURV")</f>
        <v>AURV</v>
      </c>
      <c r="B89" s="55" t="str">
        <f>IFERROR(__xludf.DUMMYFUNCTION("""COMPUTED_VALUE"""),"Aurvandil Acquisition Corp.")</f>
        <v>Aurvandil Acquisition Corp.</v>
      </c>
      <c r="C89" s="56" t="str">
        <f>IFERROR(__xludf.DUMMYFUNCTION("""COMPUTED_VALUE"""),"Pre IPO")</f>
        <v>Pre IPO</v>
      </c>
      <c r="D89" s="77" t="str">
        <f>IFERROR(__xludf.DUMMYFUNCTION("""COMPUTED_VALUE"""),"Space ecosystem")</f>
        <v>Space ecosystem</v>
      </c>
      <c r="E89" s="58"/>
      <c r="F89" s="59" t="str">
        <f>IFERROR(__xludf.DUMMYFUNCTION("""COMPUTED_VALUE"""),"Vyomesh Joshi (Former CEO of 3D Systems Corp., and Former Director of Yahoo, Wipro, and Harris Corp), Scott Parazynski (Hall of Fame Astronaut)")</f>
        <v>Vyomesh Joshi (Former CEO of 3D Systems Corp., and Former Director of Yahoo, Wipro, and Harris Corp), Scott Parazynski (Hall of Fame Astronaut)</v>
      </c>
      <c r="G89" s="60">
        <f>IFERROR(__xludf.DUMMYFUNCTION("""COMPUTED_VALUE"""),2.5E8)</f>
        <v>250000000</v>
      </c>
      <c r="H89" s="60" t="str">
        <f>IFERROR(__xludf.DUMMYFUNCTION("""COMPUTED_VALUE""")," ")</f>
        <v> </v>
      </c>
      <c r="I89" s="61" t="str">
        <f>IFERROR(__xludf.DUMMYFUNCTION("""COMPUTED_VALUE""")," ")</f>
        <v> </v>
      </c>
      <c r="J89" s="62" t="str">
        <f>IFERROR(__xludf.DUMMYFUNCTION("""COMPUTED_VALUE""")," ")</f>
        <v> </v>
      </c>
      <c r="K89" s="59" t="str">
        <f>IFERROR(__xludf.DUMMYFUNCTION("""COMPUTED_VALUE""")," ")</f>
        <v> </v>
      </c>
      <c r="L89" s="63" t="str">
        <f>IFERROR(__xludf.DUMMYFUNCTION("""COMPUTED_VALUE""")," ")</f>
        <v> </v>
      </c>
      <c r="M89" s="64" t="str">
        <f>IFERROR(__xludf.DUMMYFUNCTION("""COMPUTED_VALUE"""),"U: [1/2 W]; W: [1:1, $11.5]")</f>
        <v>U: [1/2 W]; W: [1:1, $11.5]</v>
      </c>
      <c r="N89" s="65" t="str">
        <f>IFERROR(__xludf.DUMMYFUNCTION("""COMPUTED_VALUE"""),"")</f>
        <v/>
      </c>
      <c r="O89" s="66">
        <f>IFERROR(__xludf.DUMMYFUNCTION("""COMPUTED_VALUE"""),0.0)</f>
        <v>0</v>
      </c>
      <c r="P89" s="67"/>
      <c r="Q89" s="68">
        <f>IFERROR(__xludf.DUMMYFUNCTION("""COMPUTED_VALUE"""),250.0)</f>
        <v>250</v>
      </c>
      <c r="R89" s="69" t="str">
        <f>IFERROR(__xludf.DUMMYFUNCTION("""COMPUTED_VALUE"""),"B. Riley Securities")</f>
        <v>B. Riley Securities</v>
      </c>
      <c r="S89" s="64">
        <f>IFERROR(__xludf.DUMMYFUNCTION("""COMPUTED_VALUE"""),45086.0)</f>
        <v>45086</v>
      </c>
      <c r="T89" s="70" t="str">
        <f>IFERROR(__xludf.DUMMYFUNCTION("""COMPUTED_VALUE"""),"")</f>
        <v/>
      </c>
      <c r="U89" s="71" t="str">
        <f>IFERROR(__xludf.DUMMYFUNCTION("""COMPUTED_VALUE"""),"https://www.sec.gov/cgi-bin/browse-edgar?CIK=1849006")</f>
        <v>https://www.sec.gov/cgi-bin/browse-edgar?CIK=1849006</v>
      </c>
      <c r="V89" s="72" t="str">
        <f>IFERROR(__xludf.DUMMYFUNCTION("""COMPUTED_VALUE"""),"            ")</f>
        <v>            </v>
      </c>
      <c r="W89" s="73"/>
      <c r="X89" s="74"/>
      <c r="Y89" s="75"/>
      <c r="Z89" s="60"/>
      <c r="AA89" s="60"/>
      <c r="AB89" s="60"/>
      <c r="AC89" s="60"/>
      <c r="AD89" s="73"/>
      <c r="AE89" s="73"/>
      <c r="AF89" s="76"/>
      <c r="AG89" s="60"/>
    </row>
    <row r="90">
      <c r="A90" s="54" t="str">
        <f>IFERROR(__xludf.DUMMYFUNCTION("""COMPUTED_VALUE"""),"AUS")</f>
        <v>AUS</v>
      </c>
      <c r="B90" s="55" t="str">
        <f>IFERROR(__xludf.DUMMYFUNCTION("""COMPUTED_VALUE"""),"Austerlitz Acquisition Corp I")</f>
        <v>Austerlitz Acquisition Corp I</v>
      </c>
      <c r="C90" s="56" t="str">
        <f>IFERROR(__xludf.DUMMYFUNCTION("""COMPUTED_VALUE"""),"Searching (Pre Unit Split)")</f>
        <v>Searching (Pre Unit Split)</v>
      </c>
      <c r="D90" s="57" t="str">
        <f>IFERROR(__xludf.DUMMYFUNCTION("""COMPUTED_VALUE"""),"Fintech")</f>
        <v>Fintech</v>
      </c>
      <c r="E90" s="58"/>
      <c r="F90" s="59" t="str">
        <f>IFERROR(__xludf.DUMMYFUNCTION("""COMPUTED_VALUE"""),"Bill Foley (Founder/Chairman of Fidelity National Financial, Chairman of Cannae Holdings, Owner of NHL Team: Vegas Golden Knights)")</f>
        <v>Bill Foley (Founder/Chairman of Fidelity National Financial, Chairman of Cannae Holdings, Owner of NHL Team: Vegas Golden Knights)</v>
      </c>
      <c r="G90" s="60">
        <f>IFERROR(__xludf.DUMMYFUNCTION("""COMPUTED_VALUE"""),6.9E8)</f>
        <v>690000000</v>
      </c>
      <c r="H90" s="60" t="str">
        <f>IFERROR(__xludf.DUMMYFUNCTION("""COMPUTED_VALUE""")," ")</f>
        <v> </v>
      </c>
      <c r="I90" s="61" t="str">
        <f>IFERROR(__xludf.DUMMYFUNCTION("""COMPUTED_VALUE""")," ")</f>
        <v> </v>
      </c>
      <c r="J90" s="62" t="str">
        <f>IFERROR(__xludf.DUMMYFUNCTION("""COMPUTED_VALUE""")," ")</f>
        <v> </v>
      </c>
      <c r="K90" s="59">
        <f>IFERROR(__xludf.DUMMYFUNCTION("""COMPUTED_VALUE"""),10.29)</f>
        <v>10.29</v>
      </c>
      <c r="L90" s="63" t="str">
        <f>IFERROR(__xludf.DUMMYFUNCTION("""COMPUTED_VALUE""")," ")</f>
        <v> </v>
      </c>
      <c r="M90" s="64" t="str">
        <f>IFERROR(__xludf.DUMMYFUNCTION("""COMPUTED_VALUE"""),"U: [1/4 W]; W: [1:1, $11.5]")</f>
        <v>U: [1/4 W]; W: [1:1, $11.5]</v>
      </c>
      <c r="N90" s="65">
        <f>IFERROR(__xludf.DUMMYFUNCTION("""COMPUTED_VALUE"""),44304.0)</f>
        <v>44304</v>
      </c>
      <c r="O90" s="66" t="str">
        <f>IFERROR(__xludf.DUMMYFUNCTION("""COMPUTED_VALUE"""),"")</f>
        <v/>
      </c>
      <c r="P90" s="67">
        <f>IFERROR(__xludf.DUMMYFUNCTION("""COMPUTED_VALUE"""),44252.0)</f>
        <v>44252</v>
      </c>
      <c r="Q90" s="68">
        <f>IFERROR(__xludf.DUMMYFUNCTION("""COMPUTED_VALUE"""),690.0)</f>
        <v>690</v>
      </c>
      <c r="R90" s="69" t="str">
        <f>IFERROR(__xludf.DUMMYFUNCTION("""COMPUTED_VALUE"""),"Credit Suisse, BofA Securities, J.P. Morgan")</f>
        <v>Credit Suisse, BofA Securities, J.P. Morgan</v>
      </c>
      <c r="S90" s="64">
        <f>IFERROR(__xludf.DUMMYFUNCTION("""COMPUTED_VALUE"""),44982.0)</f>
        <v>44982</v>
      </c>
      <c r="T90" s="70">
        <f>IFERROR(__xludf.DUMMYFUNCTION("""COMPUTED_VALUE"""),0.06027397260273973)</f>
        <v>0.0602739726</v>
      </c>
      <c r="U90" s="71" t="str">
        <f>IFERROR(__xludf.DUMMYFUNCTION("""COMPUTED_VALUE"""),"https://www.sec.gov/cgi-bin/browse-edgar?CIK=1838207")</f>
        <v>https://www.sec.gov/cgi-bin/browse-edgar?CIK=1838207</v>
      </c>
      <c r="V90" s="72" t="str">
        <f>IFERROR(__xludf.DUMMYFUNCTION("""COMPUTED_VALUE"""),"   $500M+ Trust     Well-known Sponsor Serial Sponsor Top Tier UW ")</f>
        <v>   $500M+ Trust     Well-known Sponsor Serial Sponsor Top Tier UW </v>
      </c>
      <c r="W90" s="73"/>
      <c r="X90" s="74"/>
      <c r="Y90" s="75"/>
      <c r="Z90" s="60"/>
      <c r="AA90" s="60"/>
      <c r="AB90" s="60"/>
      <c r="AC90" s="60"/>
      <c r="AD90" s="73"/>
      <c r="AE90" s="73"/>
      <c r="AF90" s="76"/>
      <c r="AG90" s="60"/>
    </row>
    <row r="91">
      <c r="A91" s="54" t="str">
        <f>IFERROR(__xludf.DUMMYFUNCTION("""COMPUTED_VALUE"""),"AVAC")</f>
        <v>AVAC</v>
      </c>
      <c r="B91" s="55" t="str">
        <f>IFERROR(__xludf.DUMMYFUNCTION("""COMPUTED_VALUE"""),"Avalon Acquisition Inc.")</f>
        <v>Avalon Acquisition Inc.</v>
      </c>
      <c r="C91" s="56" t="str">
        <f>IFERROR(__xludf.DUMMYFUNCTION("""COMPUTED_VALUE"""),"Pre IPO")</f>
        <v>Pre IPO</v>
      </c>
      <c r="D91" s="77" t="str">
        <f>IFERROR(__xludf.DUMMYFUNCTION("""COMPUTED_VALUE"""),"Financial Services, Fintech")</f>
        <v>Financial Services, Fintech</v>
      </c>
      <c r="E91" s="58"/>
      <c r="F91" s="59"/>
      <c r="G91" s="60">
        <f>IFERROR(__xludf.DUMMYFUNCTION("""COMPUTED_VALUE"""),2.0E8)</f>
        <v>200000000</v>
      </c>
      <c r="H91" s="60" t="str">
        <f>IFERROR(__xludf.DUMMYFUNCTION("""COMPUTED_VALUE""")," ")</f>
        <v> </v>
      </c>
      <c r="I91" s="61" t="str">
        <f>IFERROR(__xludf.DUMMYFUNCTION("""COMPUTED_VALUE""")," ")</f>
        <v> </v>
      </c>
      <c r="J91" s="62" t="str">
        <f>IFERROR(__xludf.DUMMYFUNCTION("""COMPUTED_VALUE""")," ")</f>
        <v> </v>
      </c>
      <c r="K91" s="59" t="str">
        <f>IFERROR(__xludf.DUMMYFUNCTION("""COMPUTED_VALUE""")," ")</f>
        <v> </v>
      </c>
      <c r="L91" s="63" t="str">
        <f>IFERROR(__xludf.DUMMYFUNCTION("""COMPUTED_VALUE""")," ")</f>
        <v> </v>
      </c>
      <c r="M91" s="64" t="str">
        <f>IFERROR(__xludf.DUMMYFUNCTION("""COMPUTED_VALUE"""),"U: [1/2 W]; W: [1:1, $11.5]")</f>
        <v>U: [1/2 W]; W: [1:1, $11.5]</v>
      </c>
      <c r="N91" s="65" t="str">
        <f>IFERROR(__xludf.DUMMYFUNCTION("""COMPUTED_VALUE"""),"")</f>
        <v/>
      </c>
      <c r="O91" s="66">
        <f>IFERROR(__xludf.DUMMYFUNCTION("""COMPUTED_VALUE"""),0.0)</f>
        <v>0</v>
      </c>
      <c r="P91" s="67"/>
      <c r="Q91" s="68">
        <f>IFERROR(__xludf.DUMMYFUNCTION("""COMPUTED_VALUE"""),200.0)</f>
        <v>200</v>
      </c>
      <c r="R91" s="69" t="str">
        <f>IFERROR(__xludf.DUMMYFUNCTION("""COMPUTED_VALUE"""),"Maxim Group LLC")</f>
        <v>Maxim Group LLC</v>
      </c>
      <c r="S91" s="64">
        <f>IFERROR(__xludf.DUMMYFUNCTION("""COMPUTED_VALUE"""),45086.0)</f>
        <v>45086</v>
      </c>
      <c r="T91" s="70" t="str">
        <f>IFERROR(__xludf.DUMMYFUNCTION("""COMPUTED_VALUE"""),"")</f>
        <v/>
      </c>
      <c r="U91" s="71" t="str">
        <f>IFERROR(__xludf.DUMMYFUNCTION("""COMPUTED_VALUE"""),"https://www.sec.gov/cgi-bin/browse-edgar?CIK=1836478")</f>
        <v>https://www.sec.gov/cgi-bin/browse-edgar?CIK=1836478</v>
      </c>
      <c r="V91" s="72" t="str">
        <f>IFERROR(__xludf.DUMMYFUNCTION("""COMPUTED_VALUE"""),"            ")</f>
        <v>            </v>
      </c>
      <c r="W91" s="73"/>
      <c r="X91" s="74"/>
      <c r="Y91" s="75"/>
      <c r="Z91" s="60"/>
      <c r="AA91" s="60"/>
      <c r="AB91" s="60"/>
      <c r="AC91" s="60"/>
      <c r="AD91" s="73"/>
      <c r="AE91" s="73"/>
      <c r="AF91" s="76"/>
      <c r="AG91" s="60"/>
    </row>
    <row r="92">
      <c r="A92" s="54" t="str">
        <f>IFERROR(__xludf.DUMMYFUNCTION("""COMPUTED_VALUE"""),"AVAN")</f>
        <v>AVAN</v>
      </c>
      <c r="B92" s="55" t="str">
        <f>IFERROR(__xludf.DUMMYFUNCTION("""COMPUTED_VALUE"""),"Avanti Acquisition Corp")</f>
        <v>Avanti Acquisition Corp</v>
      </c>
      <c r="C92" s="56" t="str">
        <f>IFERROR(__xludf.DUMMYFUNCTION("""COMPUTED_VALUE"""),"Searching")</f>
        <v>Searching</v>
      </c>
      <c r="D92" s="57" t="str">
        <f>IFERROR(__xludf.DUMMYFUNCTION("""COMPUTED_VALUE"""),"Europe (with strong US nexus, int'l reach)")</f>
        <v>Europe (with strong US nexus, int'l reach)</v>
      </c>
      <c r="E92" s="58"/>
      <c r="F92" s="59"/>
      <c r="G92" s="60">
        <f>IFERROR(__xludf.DUMMYFUNCTION("""COMPUTED_VALUE"""),6.0E8)</f>
        <v>600000000</v>
      </c>
      <c r="H92" s="60">
        <f>IFERROR(__xludf.DUMMYFUNCTION("""COMPUTED_VALUE"""),6.012E8)</f>
        <v>601200000</v>
      </c>
      <c r="I92" s="61">
        <f>IFERROR(__xludf.DUMMYFUNCTION("""COMPUTED_VALUE"""),10.02)</f>
        <v>10.02</v>
      </c>
      <c r="J92" s="62">
        <f>IFERROR(__xludf.DUMMYFUNCTION("""COMPUTED_VALUE"""),0.002)</f>
        <v>0.002</v>
      </c>
      <c r="K92" s="59">
        <f>IFERROR(__xludf.DUMMYFUNCTION("""COMPUTED_VALUE"""),10.69)</f>
        <v>10.69</v>
      </c>
      <c r="L92" s="63">
        <f>IFERROR(__xludf.DUMMYFUNCTION("""COMPUTED_VALUE"""),1.19)</f>
        <v>1.19</v>
      </c>
      <c r="M92" s="64" t="str">
        <f>IFERROR(__xludf.DUMMYFUNCTION("""COMPUTED_VALUE"""),"U: [1/2 W]; W: [1:1, $11.5]")</f>
        <v>U: [1/2 W]; W: [1:1, $11.5]</v>
      </c>
      <c r="N92" s="65" t="str">
        <f>IFERROR(__xludf.DUMMYFUNCTION("""COMPUTED_VALUE"""),"")</f>
        <v/>
      </c>
      <c r="O92" s="66">
        <f>IFERROR(__xludf.DUMMYFUNCTION("""COMPUTED_VALUE"""),0.0)</f>
        <v>0</v>
      </c>
      <c r="P92" s="67">
        <f>IFERROR(__xludf.DUMMYFUNCTION("""COMPUTED_VALUE"""),44105.0)</f>
        <v>44105</v>
      </c>
      <c r="Q92" s="68">
        <f>IFERROR(__xludf.DUMMYFUNCTION("""COMPUTED_VALUE"""),600.0)</f>
        <v>600</v>
      </c>
      <c r="R92" s="69" t="str">
        <f>IFERROR(__xludf.DUMMYFUNCTION("""COMPUTED_VALUE"""),"Citigroup, Goldman Sachs")</f>
        <v>Citigroup, Goldman Sachs</v>
      </c>
      <c r="S92" s="64">
        <f>IFERROR(__xludf.DUMMYFUNCTION("""COMPUTED_VALUE"""),44835.0)</f>
        <v>44835</v>
      </c>
      <c r="T92" s="70">
        <f>IFERROR(__xludf.DUMMYFUNCTION("""COMPUTED_VALUE"""),0.26164383561643834)</f>
        <v>0.2616438356</v>
      </c>
      <c r="U92" s="71" t="str">
        <f>IFERROR(__xludf.DUMMYFUNCTION("""COMPUTED_VALUE"""),"https://www.sec.gov/cgi-bin/browse-edgar?CIK=1819608")</f>
        <v>https://www.sec.gov/cgi-bin/browse-edgar?CIK=1819608</v>
      </c>
      <c r="V92" s="72" t="str">
        <f>IFERROR(__xludf.DUMMYFUNCTION("""COMPUTED_VALUE"""),"   $500M+ Trust       Top Tier UW ")</f>
        <v>   $500M+ Trust       Top Tier UW </v>
      </c>
      <c r="W92" s="73"/>
      <c r="X92" s="74"/>
      <c r="Y92" s="75"/>
      <c r="Z92" s="60"/>
      <c r="AA92" s="60"/>
      <c r="AB92" s="60"/>
      <c r="AC92" s="60"/>
      <c r="AD92" s="73"/>
      <c r="AE92" s="73"/>
      <c r="AF92" s="76"/>
      <c r="AG92" s="60" t="str">
        <f>IFERROR(__xludf.DUMMYFUNCTION("""COMPUTED_VALUE"""),"")</f>
        <v/>
      </c>
    </row>
    <row r="93">
      <c r="A93" s="54" t="str">
        <f>IFERROR(__xludf.DUMMYFUNCTION("""COMPUTED_VALUE"""),"AVEA")</f>
        <v>AVEA</v>
      </c>
      <c r="B93" s="55" t="str">
        <f>IFERROR(__xludf.DUMMYFUNCTION("""COMPUTED_VALUE"""),"Avanea Energy Acquisition Corp.")</f>
        <v>Avanea Energy Acquisition Corp.</v>
      </c>
      <c r="C93" s="56" t="str">
        <f>IFERROR(__xludf.DUMMYFUNCTION("""COMPUTED_VALUE"""),"Pre IPO")</f>
        <v>Pre IPO</v>
      </c>
      <c r="D93" s="77" t="str">
        <f>IFERROR(__xludf.DUMMYFUNCTION("""COMPUTED_VALUE"""),"Energy Tech in Europe and North America")</f>
        <v>Energy Tech in Europe and North America</v>
      </c>
      <c r="E93" s="58"/>
      <c r="F93" s="59" t="str">
        <f>IFERROR(__xludf.DUMMYFUNCTION("""COMPUTED_VALUE"""),"Faysal Sohail (Managing Director at Presidio Partners Management LLC, co-founder of Silicon Architects, executive chairman of the board of InoBat Auto), Andrew Palmer (Former CEO of Aston Martin Lagonda, Founder &amp; Former CEO of Palmer Automotive, and Form"&amp;"er Chairman of Infiniti), Tom Baruch (Founding Partner of Formation 8 Partners, Founding Partner of CMEA Capital, and Senior Advisor to Breakthrough Energy Ventures)")</f>
        <v>Faysal Sohail (Managing Director at Presidio Partners Management LLC, co-founder of Silicon Architects, executive chairman of the board of InoBat Auto), Andrew Palmer (Former CEO of Aston Martin Lagonda, Founder &amp; Former CEO of Palmer Automotive, and Former Chairman of Infiniti), Tom Baruch (Founding Partner of Formation 8 Partners, Founding Partner of CMEA Capital, and Senior Advisor to Breakthrough Energy Ventures)</v>
      </c>
      <c r="G93" s="60">
        <f>IFERROR(__xludf.DUMMYFUNCTION("""COMPUTED_VALUE"""),2.0E8)</f>
        <v>200000000</v>
      </c>
      <c r="H93" s="60" t="str">
        <f>IFERROR(__xludf.DUMMYFUNCTION("""COMPUTED_VALUE""")," ")</f>
        <v> </v>
      </c>
      <c r="I93" s="61" t="str">
        <f>IFERROR(__xludf.DUMMYFUNCTION("""COMPUTED_VALUE""")," ")</f>
        <v> </v>
      </c>
      <c r="J93" s="62" t="str">
        <f>IFERROR(__xludf.DUMMYFUNCTION("""COMPUTED_VALUE""")," ")</f>
        <v> </v>
      </c>
      <c r="K93" s="59" t="str">
        <f>IFERROR(__xludf.DUMMYFUNCTION("""COMPUTED_VALUE""")," ")</f>
        <v> </v>
      </c>
      <c r="L93" s="63" t="str">
        <f>IFERROR(__xludf.DUMMYFUNCTION("""COMPUTED_VALUE""")," ")</f>
        <v> </v>
      </c>
      <c r="M93" s="64" t="str">
        <f>IFERROR(__xludf.DUMMYFUNCTION("""COMPUTED_VALUE"""),"U: [1/3 W]; W: [1:1, $11.5]")</f>
        <v>U: [1/3 W]; W: [1:1, $11.5]</v>
      </c>
      <c r="N93" s="65" t="str">
        <f>IFERROR(__xludf.DUMMYFUNCTION("""COMPUTED_VALUE"""),"")</f>
        <v/>
      </c>
      <c r="O93" s="66">
        <f>IFERROR(__xludf.DUMMYFUNCTION("""COMPUTED_VALUE"""),0.0)</f>
        <v>0</v>
      </c>
      <c r="P93" s="67"/>
      <c r="Q93" s="68">
        <f>IFERROR(__xludf.DUMMYFUNCTION("""COMPUTED_VALUE"""),200.0)</f>
        <v>200</v>
      </c>
      <c r="R93" s="69" t="str">
        <f>IFERROR(__xludf.DUMMYFUNCTION("""COMPUTED_VALUE"""),"BofA Securities, Barclays")</f>
        <v>BofA Securities, Barclays</v>
      </c>
      <c r="S93" s="64">
        <f>IFERROR(__xludf.DUMMYFUNCTION("""COMPUTED_VALUE"""),45086.0)</f>
        <v>45086</v>
      </c>
      <c r="T93" s="70" t="str">
        <f>IFERROR(__xludf.DUMMYFUNCTION("""COMPUTED_VALUE"""),"")</f>
        <v/>
      </c>
      <c r="U93" s="71" t="str">
        <f>IFERROR(__xludf.DUMMYFUNCTION("""COMPUTED_VALUE"""),"https://www.sec.gov/cgi-bin/browse-edgar?CIK=1850490")</f>
        <v>https://www.sec.gov/cgi-bin/browse-edgar?CIK=1850490</v>
      </c>
      <c r="V93" s="72" t="str">
        <f>IFERROR(__xludf.DUMMYFUNCTION("""COMPUTED_VALUE"""),"           Top Tier UW ")</f>
        <v>           Top Tier UW </v>
      </c>
      <c r="W93" s="73"/>
      <c r="X93" s="74"/>
      <c r="Y93" s="75"/>
      <c r="Z93" s="60"/>
      <c r="AA93" s="60"/>
      <c r="AB93" s="60"/>
      <c r="AC93" s="60"/>
      <c r="AD93" s="73"/>
      <c r="AE93" s="73"/>
      <c r="AF93" s="76"/>
      <c r="AG93" s="60"/>
    </row>
    <row r="94">
      <c r="A94" s="54" t="str">
        <f>IFERROR(__xludf.DUMMYFUNCTION("""COMPUTED_VALUE"""),"BCAC")</f>
        <v>BCAC</v>
      </c>
      <c r="B94" s="55" t="str">
        <f>IFERROR(__xludf.DUMMYFUNCTION("""COMPUTED_VALUE"""),"Brookline Capital Acquisition Corp.")</f>
        <v>Brookline Capital Acquisition Corp.</v>
      </c>
      <c r="C94" s="56" t="str">
        <f>IFERROR(__xludf.DUMMYFUNCTION("""COMPUTED_VALUE"""),"Searching")</f>
        <v>Searching</v>
      </c>
      <c r="D94" s="57" t="str">
        <f>IFERROR(__xludf.DUMMYFUNCTION("""COMPUTED_VALUE"""),"Life Sciences, Healthcare")</f>
        <v>Life Sciences, Healthcare</v>
      </c>
      <c r="E94" s="58"/>
      <c r="F94" s="59"/>
      <c r="G94" s="60">
        <f>IFERROR(__xludf.DUMMYFUNCTION("""COMPUTED_VALUE"""),5.8075E7)</f>
        <v>58075000</v>
      </c>
      <c r="H94" s="60">
        <f>IFERROR(__xludf.DUMMYFUNCTION("""COMPUTED_VALUE"""),7.4270655E7)</f>
        <v>74270655</v>
      </c>
      <c r="I94" s="61">
        <f>IFERROR(__xludf.DUMMYFUNCTION("""COMPUTED_VALUE"""),9.99)</f>
        <v>9.99</v>
      </c>
      <c r="J94" s="62">
        <f>IFERROR(__xludf.DUMMYFUNCTION("""COMPUTED_VALUE"""),0.01011)</f>
        <v>0.01011</v>
      </c>
      <c r="K94" s="59">
        <f>IFERROR(__xludf.DUMMYFUNCTION("""COMPUTED_VALUE"""),10.79)</f>
        <v>10.79</v>
      </c>
      <c r="L94" s="63">
        <f>IFERROR(__xludf.DUMMYFUNCTION("""COMPUTED_VALUE"""),1.64)</f>
        <v>1.64</v>
      </c>
      <c r="M94" s="64" t="str">
        <f>IFERROR(__xludf.DUMMYFUNCTION("""COMPUTED_VALUE"""),"U: [1/2 W]; W: [1:1, $11.5]")</f>
        <v>U: [1/2 W]; W: [1:1, $11.5]</v>
      </c>
      <c r="N94" s="65">
        <f>IFERROR(__xludf.DUMMYFUNCTION("""COMPUTED_VALUE"""),44249.0)</f>
        <v>44249</v>
      </c>
      <c r="O94" s="66">
        <f>IFERROR(__xludf.DUMMYFUNCTION("""COMPUTED_VALUE"""),0.0)</f>
        <v>0</v>
      </c>
      <c r="P94" s="67">
        <f>IFERROR(__xludf.DUMMYFUNCTION("""COMPUTED_VALUE"""),44224.0)</f>
        <v>44224</v>
      </c>
      <c r="Q94" s="68">
        <f>IFERROR(__xludf.DUMMYFUNCTION("""COMPUTED_VALUE"""),58.075)</f>
        <v>58.075</v>
      </c>
      <c r="R94" s="85" t="str">
        <f>IFERROR(__xludf.DUMMYFUNCTION("""COMPUTED_VALUE"""),"Ladenburg Thalmann")</f>
        <v>Ladenburg Thalmann</v>
      </c>
      <c r="S94" s="64">
        <f>IFERROR(__xludf.DUMMYFUNCTION("""COMPUTED_VALUE"""),44954.0)</f>
        <v>44954</v>
      </c>
      <c r="T94" s="70">
        <f>IFERROR(__xludf.DUMMYFUNCTION("""COMPUTED_VALUE"""),0.09863013698630137)</f>
        <v>0.09863013699</v>
      </c>
      <c r="U94" s="71" t="str">
        <f>IFERROR(__xludf.DUMMYFUNCTION("""COMPUTED_VALUE"""),"https://www.sec.gov/cgi-bin/browse-edgar?CIK=1814140")</f>
        <v>https://www.sec.gov/cgi-bin/browse-edgar?CIK=1814140</v>
      </c>
      <c r="V94" s="72" t="str">
        <f>IFERROR(__xludf.DUMMYFUNCTION("""COMPUTED_VALUE""")," Trading Below $10 (Common)           ")</f>
        <v> Trading Below $10 (Common)           </v>
      </c>
      <c r="W94" s="73"/>
      <c r="X94" s="74"/>
      <c r="Y94" s="75"/>
      <c r="Z94" s="60"/>
      <c r="AA94" s="60"/>
      <c r="AB94" s="60"/>
      <c r="AC94" s="60"/>
      <c r="AD94" s="73"/>
      <c r="AE94" s="73"/>
      <c r="AF94" s="76"/>
      <c r="AG94" s="60" t="str">
        <f>IFERROR(__xludf.DUMMYFUNCTION("""COMPUTED_VALUE"""),"")</f>
        <v/>
      </c>
    </row>
    <row r="95">
      <c r="A95" s="54" t="str">
        <f>IFERROR(__xludf.DUMMYFUNCTION("""COMPUTED_VALUE"""),"BCIC")</f>
        <v>BCIC</v>
      </c>
      <c r="B95" s="55" t="str">
        <f>IFERROR(__xludf.DUMMYFUNCTION("""COMPUTED_VALUE"""),"BCC Investment Corp.")</f>
        <v>BCC Investment Corp.</v>
      </c>
      <c r="C95" s="56" t="str">
        <f>IFERROR(__xludf.DUMMYFUNCTION("""COMPUTED_VALUE"""),"Pre IPO")</f>
        <v>Pre IPO</v>
      </c>
      <c r="D95" s="57"/>
      <c r="E95" s="58"/>
      <c r="F95" s="59" t="str">
        <f>IFERROR(__xludf.DUMMYFUNCTION("""COMPUTED_VALUE"""),"Bain Capital Credit")</f>
        <v>Bain Capital Credit</v>
      </c>
      <c r="G95" s="60">
        <f>IFERROR(__xludf.DUMMYFUNCTION("""COMPUTED_VALUE"""),3.0E8)</f>
        <v>300000000</v>
      </c>
      <c r="H95" s="60" t="str">
        <f>IFERROR(__xludf.DUMMYFUNCTION("""COMPUTED_VALUE""")," ")</f>
        <v> </v>
      </c>
      <c r="I95" s="61" t="str">
        <f>IFERROR(__xludf.DUMMYFUNCTION("""COMPUTED_VALUE""")," ")</f>
        <v> </v>
      </c>
      <c r="J95" s="62" t="str">
        <f>IFERROR(__xludf.DUMMYFUNCTION("""COMPUTED_VALUE""")," ")</f>
        <v> </v>
      </c>
      <c r="K95" s="59" t="str">
        <f>IFERROR(__xludf.DUMMYFUNCTION("""COMPUTED_VALUE""")," ")</f>
        <v> </v>
      </c>
      <c r="L95" s="63" t="str">
        <f>IFERROR(__xludf.DUMMYFUNCTION("""COMPUTED_VALUE""")," ")</f>
        <v> </v>
      </c>
      <c r="M95" s="64" t="str">
        <f>IFERROR(__xludf.DUMMYFUNCTION("""COMPUTED_VALUE"""),"U: [1/4 W]; W: [1:1, $11.5]")</f>
        <v>U: [1/4 W]; W: [1:1, $11.5]</v>
      </c>
      <c r="N95" s="65" t="str">
        <f>IFERROR(__xludf.DUMMYFUNCTION("""COMPUTED_VALUE"""),"")</f>
        <v/>
      </c>
      <c r="O95" s="66">
        <f>IFERROR(__xludf.DUMMYFUNCTION("""COMPUTED_VALUE"""),0.0)</f>
        <v>0</v>
      </c>
      <c r="P95" s="67"/>
      <c r="Q95" s="68">
        <f>IFERROR(__xludf.DUMMYFUNCTION("""COMPUTED_VALUE"""),300.0)</f>
        <v>300</v>
      </c>
      <c r="R95" s="69" t="str">
        <f>IFERROR(__xludf.DUMMYFUNCTION("""COMPUTED_VALUE"""),"Goldman Sachs &amp; Co. LLC, Evercore ISI")</f>
        <v>Goldman Sachs &amp; Co. LLC, Evercore ISI</v>
      </c>
      <c r="S95" s="64">
        <f>IFERROR(__xludf.DUMMYFUNCTION("""COMPUTED_VALUE"""),45086.0)</f>
        <v>45086</v>
      </c>
      <c r="T95" s="70" t="str">
        <f>IFERROR(__xludf.DUMMYFUNCTION("""COMPUTED_VALUE"""),"")</f>
        <v/>
      </c>
      <c r="U95" s="71" t="str">
        <f>IFERROR(__xludf.DUMMYFUNCTION("""COMPUTED_VALUE"""),"https://www.sec.gov/cgi-bin/browse-edgar?CIK=1842668")</f>
        <v>https://www.sec.gov/cgi-bin/browse-edgar?CIK=1842668</v>
      </c>
      <c r="V95" s="72" t="str">
        <f>IFERROR(__xludf.DUMMYFUNCTION("""COMPUTED_VALUE"""),"           Top Tier UW ")</f>
        <v>           Top Tier UW </v>
      </c>
      <c r="W95" s="73"/>
      <c r="X95" s="74"/>
      <c r="Y95" s="75"/>
      <c r="Z95" s="60"/>
      <c r="AA95" s="60"/>
      <c r="AB95" s="60"/>
      <c r="AC95" s="60"/>
      <c r="AD95" s="73"/>
      <c r="AE95" s="73"/>
      <c r="AF95" s="76"/>
      <c r="AG95" s="60"/>
    </row>
    <row r="96">
      <c r="A96" s="54" t="str">
        <f>IFERROR(__xludf.DUMMYFUNCTION("""COMPUTED_VALUE"""),"BCTA")</f>
        <v>BCTA</v>
      </c>
      <c r="B96" s="55" t="str">
        <f>IFERROR(__xludf.DUMMYFUNCTION("""COMPUTED_VALUE"""),"B Capital Technology Opportunities Corp.")</f>
        <v>B Capital Technology Opportunities Corp.</v>
      </c>
      <c r="C96" s="56" t="str">
        <f>IFERROR(__xludf.DUMMYFUNCTION("""COMPUTED_VALUE"""),"Pre IPO")</f>
        <v>Pre IPO</v>
      </c>
      <c r="D96" s="77" t="str">
        <f>IFERROR(__xludf.DUMMYFUNCTION("""COMPUTED_VALUE"""),"Tech")</f>
        <v>Tech</v>
      </c>
      <c r="E96" s="58"/>
      <c r="F96" s="59" t="str">
        <f>IFERROR(__xludf.DUMMYFUNCTION("""COMPUTED_VALUE"""),"Eduardo Saverin (Co-founder, Facebook; Co-founder/Co-Managing GP, B Capital Group), Bruce Aust (Fmr Vice Chairman, Nasdaq)")</f>
        <v>Eduardo Saverin (Co-founder, Facebook; Co-founder/Co-Managing GP, B Capital Group), Bruce Aust (Fmr Vice Chairman, Nasdaq)</v>
      </c>
      <c r="G96" s="60">
        <f>IFERROR(__xludf.DUMMYFUNCTION("""COMPUTED_VALUE"""),3.0E8)</f>
        <v>300000000</v>
      </c>
      <c r="H96" s="60" t="str">
        <f>IFERROR(__xludf.DUMMYFUNCTION("""COMPUTED_VALUE""")," ")</f>
        <v> </v>
      </c>
      <c r="I96" s="61" t="str">
        <f>IFERROR(__xludf.DUMMYFUNCTION("""COMPUTED_VALUE""")," ")</f>
        <v> </v>
      </c>
      <c r="J96" s="62" t="str">
        <f>IFERROR(__xludf.DUMMYFUNCTION("""COMPUTED_VALUE""")," ")</f>
        <v> </v>
      </c>
      <c r="K96" s="59" t="str">
        <f>IFERROR(__xludf.DUMMYFUNCTION("""COMPUTED_VALUE""")," ")</f>
        <v> </v>
      </c>
      <c r="L96" s="63" t="str">
        <f>IFERROR(__xludf.DUMMYFUNCTION("""COMPUTED_VALUE""")," ")</f>
        <v> </v>
      </c>
      <c r="M96" s="64" t="str">
        <f>IFERROR(__xludf.DUMMYFUNCTION("""COMPUTED_VALUE"""),"U: [1/3 W]; W: [1:1, $11.5]")</f>
        <v>U: [1/3 W]; W: [1:1, $11.5]</v>
      </c>
      <c r="N96" s="65" t="str">
        <f>IFERROR(__xludf.DUMMYFUNCTION("""COMPUTED_VALUE"""),"")</f>
        <v/>
      </c>
      <c r="O96" s="66" t="str">
        <f>IFERROR(__xludf.DUMMYFUNCTION("""COMPUTED_VALUE"""),"")</f>
        <v/>
      </c>
      <c r="P96" s="67"/>
      <c r="Q96" s="68">
        <f>IFERROR(__xludf.DUMMYFUNCTION("""COMPUTED_VALUE"""),300.0)</f>
        <v>300</v>
      </c>
      <c r="R96" s="69" t="str">
        <f>IFERROR(__xludf.DUMMYFUNCTION("""COMPUTED_VALUE"""),"Credit Suisse")</f>
        <v>Credit Suisse</v>
      </c>
      <c r="S96" s="64">
        <f>IFERROR(__xludf.DUMMYFUNCTION("""COMPUTED_VALUE"""),45086.0)</f>
        <v>45086</v>
      </c>
      <c r="T96" s="70" t="str">
        <f>IFERROR(__xludf.DUMMYFUNCTION("""COMPUTED_VALUE"""),"")</f>
        <v/>
      </c>
      <c r="U96" s="71" t="str">
        <f>IFERROR(__xludf.DUMMYFUNCTION("""COMPUTED_VALUE"""),"https://www.sec.gov/cgi-bin/browse-edgar?CIK=1844740")</f>
        <v>https://www.sec.gov/cgi-bin/browse-edgar?CIK=1844740</v>
      </c>
      <c r="V96" s="72" t="str">
        <f>IFERROR(__xludf.DUMMYFUNCTION("""COMPUTED_VALUE"""),"            ")</f>
        <v>            </v>
      </c>
      <c r="W96" s="73"/>
      <c r="X96" s="74"/>
      <c r="Y96" s="75"/>
      <c r="Z96" s="60"/>
      <c r="AA96" s="60"/>
      <c r="AB96" s="60"/>
      <c r="AC96" s="60"/>
      <c r="AD96" s="73"/>
      <c r="AE96" s="73"/>
      <c r="AF96" s="76"/>
      <c r="AG96" s="60"/>
    </row>
    <row r="97">
      <c r="A97" s="54" t="str">
        <f>IFERROR(__xludf.DUMMYFUNCTION("""COMPUTED_VALUE"""),"BCTG")</f>
        <v>BCTG</v>
      </c>
      <c r="B97" s="55" t="str">
        <f>IFERROR(__xludf.DUMMYFUNCTION("""COMPUTED_VALUE"""),"BCTG Acquisition Corp")</f>
        <v>BCTG Acquisition Corp</v>
      </c>
      <c r="C97" s="56" t="str">
        <f>IFERROR(__xludf.DUMMYFUNCTION("""COMPUTED_VALUE"""),"Searching")</f>
        <v>Searching</v>
      </c>
      <c r="D97" s="57" t="str">
        <f>IFERROR(__xludf.DUMMYFUNCTION("""COMPUTED_VALUE"""),"Biotech")</f>
        <v>Biotech</v>
      </c>
      <c r="E97" s="58"/>
      <c r="F97" s="59"/>
      <c r="G97" s="60">
        <f>IFERROR(__xludf.DUMMYFUNCTION("""COMPUTED_VALUE"""),1.66815235E8)</f>
        <v>166815235</v>
      </c>
      <c r="H97" s="60">
        <f>IFERROR(__xludf.DUMMYFUNCTION("""COMPUTED_VALUE"""),2.40494063E8)</f>
        <v>240494063</v>
      </c>
      <c r="I97" s="61">
        <f>IFERROR(__xludf.DUMMYFUNCTION("""COMPUTED_VALUE"""),11.25)</f>
        <v>11.25</v>
      </c>
      <c r="J97" s="62">
        <f>IFERROR(__xludf.DUMMYFUNCTION("""COMPUTED_VALUE"""),-0.00881)</f>
        <v>-0.00881</v>
      </c>
      <c r="K97" s="59" t="str">
        <f>IFERROR(__xludf.DUMMYFUNCTION("""COMPUTED_VALUE""")," ")</f>
        <v> </v>
      </c>
      <c r="L97" s="63" t="str">
        <f>IFERROR(__xludf.DUMMYFUNCTION("""COMPUTED_VALUE""")," ")</f>
        <v> </v>
      </c>
      <c r="M97" s="64" t="str">
        <f>IFERROR(__xludf.DUMMYFUNCTION("""COMPUTED_VALUE"""),"U: [No units]; W: [No warrants]")</f>
        <v>U: [No units]; W: [No warrants]</v>
      </c>
      <c r="N97" s="65" t="str">
        <f>IFERROR(__xludf.DUMMYFUNCTION("""COMPUTED_VALUE"""),"")</f>
        <v/>
      </c>
      <c r="O97" s="66" t="str">
        <f>IFERROR(__xludf.DUMMYFUNCTION("""COMPUTED_VALUE"""),"")</f>
        <v/>
      </c>
      <c r="P97" s="67">
        <f>IFERROR(__xludf.DUMMYFUNCTION("""COMPUTED_VALUE"""),44077.0)</f>
        <v>44077</v>
      </c>
      <c r="Q97" s="68">
        <f>IFERROR(__xludf.DUMMYFUNCTION("""COMPUTED_VALUE"""),166.75)</f>
        <v>166.75</v>
      </c>
      <c r="R97" s="85" t="str">
        <f>IFERROR(__xludf.DUMMYFUNCTION("""COMPUTED_VALUE"""),"SVB Leerink")</f>
        <v>SVB Leerink</v>
      </c>
      <c r="S97" s="64">
        <f>IFERROR(__xludf.DUMMYFUNCTION("""COMPUTED_VALUE"""),44807.0)</f>
        <v>44807</v>
      </c>
      <c r="T97" s="70">
        <f>IFERROR(__xludf.DUMMYFUNCTION("""COMPUTED_VALUE"""),0.3)</f>
        <v>0.3</v>
      </c>
      <c r="U97" s="71" t="str">
        <f>IFERROR(__xludf.DUMMYFUNCTION("""COMPUTED_VALUE"""),"https://www.sec.gov/cgi-bin/browse-edgar?CIK=1819133")</f>
        <v>https://www.sec.gov/cgi-bin/browse-edgar?CIK=1819133</v>
      </c>
      <c r="V97" s="72" t="str">
        <f>IFERROR(__xludf.DUMMYFUNCTION("""COMPUTED_VALUE"""),"            ")</f>
        <v>            </v>
      </c>
      <c r="W97" s="73"/>
      <c r="X97" s="74"/>
      <c r="Y97" s="75"/>
      <c r="Z97" s="60"/>
      <c r="AA97" s="60"/>
      <c r="AB97" s="60"/>
      <c r="AC97" s="60"/>
      <c r="AD97" s="73"/>
      <c r="AE97" s="73"/>
      <c r="AF97" s="76"/>
      <c r="AG97" s="60" t="str">
        <f>IFERROR(__xludf.DUMMYFUNCTION("""COMPUTED_VALUE"""),"")</f>
        <v/>
      </c>
    </row>
    <row r="98">
      <c r="A98" s="54" t="str">
        <f>IFERROR(__xludf.DUMMYFUNCTION("""COMPUTED_VALUE"""),"BCYP")</f>
        <v>BCYP</v>
      </c>
      <c r="B98" s="55" t="str">
        <f>IFERROR(__xludf.DUMMYFUNCTION("""COMPUTED_VALUE"""),"Big Cypress Acquisition Corp.")</f>
        <v>Big Cypress Acquisition Corp.</v>
      </c>
      <c r="C98" s="56" t="str">
        <f>IFERROR(__xludf.DUMMYFUNCTION("""COMPUTED_VALUE"""),"Searching")</f>
        <v>Searching</v>
      </c>
      <c r="D98" s="57" t="str">
        <f>IFERROR(__xludf.DUMMYFUNCTION("""COMPUTED_VALUE"""),"Life Sciences, Healthcare")</f>
        <v>Life Sciences, Healthcare</v>
      </c>
      <c r="E98" s="58"/>
      <c r="F98" s="59"/>
      <c r="G98" s="60">
        <f>IFERROR(__xludf.DUMMYFUNCTION("""COMPUTED_VALUE"""),1.15E8)</f>
        <v>115000000</v>
      </c>
      <c r="H98" s="60">
        <f>IFERROR(__xludf.DUMMYFUNCTION("""COMPUTED_VALUE"""),1.47330312E8)</f>
        <v>147330312</v>
      </c>
      <c r="I98" s="61">
        <f>IFERROR(__xludf.DUMMYFUNCTION("""COMPUTED_VALUE"""),9.96)</f>
        <v>9.96</v>
      </c>
      <c r="J98" s="62">
        <f>IFERROR(__xludf.DUMMYFUNCTION("""COMPUTED_VALUE"""),0.00201)</f>
        <v>0.00201</v>
      </c>
      <c r="K98" s="59">
        <f>IFERROR(__xludf.DUMMYFUNCTION("""COMPUTED_VALUE"""),10.29)</f>
        <v>10.29</v>
      </c>
      <c r="L98" s="63">
        <f>IFERROR(__xludf.DUMMYFUNCTION("""COMPUTED_VALUE"""),0.65)</f>
        <v>0.65</v>
      </c>
      <c r="M98" s="64" t="str">
        <f>IFERROR(__xludf.DUMMYFUNCTION("""COMPUTED_VALUE"""),"U: [1/2 W]; W: [1:1, $11.5]")</f>
        <v>U: [1/2 W]; W: [1:1, $11.5]</v>
      </c>
      <c r="N98" s="65" t="str">
        <f>IFERROR(__xludf.DUMMYFUNCTION("""COMPUTED_VALUE"""),"")</f>
        <v/>
      </c>
      <c r="O98" s="66">
        <f>IFERROR(__xludf.DUMMYFUNCTION("""COMPUTED_VALUE"""),0.0)</f>
        <v>0</v>
      </c>
      <c r="P98" s="67">
        <f>IFERROR(__xludf.DUMMYFUNCTION("""COMPUTED_VALUE"""),44207.0)</f>
        <v>44207</v>
      </c>
      <c r="Q98" s="68">
        <f>IFERROR(__xludf.DUMMYFUNCTION("""COMPUTED_VALUE"""),115.0)</f>
        <v>115</v>
      </c>
      <c r="R98" s="69" t="str">
        <f>IFERROR(__xludf.DUMMYFUNCTION("""COMPUTED_VALUE"""),"Ladenburg Thalmann")</f>
        <v>Ladenburg Thalmann</v>
      </c>
      <c r="S98" s="64">
        <f>IFERROR(__xludf.DUMMYFUNCTION("""COMPUTED_VALUE"""),44937.0)</f>
        <v>44937</v>
      </c>
      <c r="T98" s="70">
        <f>IFERROR(__xludf.DUMMYFUNCTION("""COMPUTED_VALUE"""),0.12191780821917808)</f>
        <v>0.1219178082</v>
      </c>
      <c r="U98" s="71" t="str">
        <f>IFERROR(__xludf.DUMMYFUNCTION("""COMPUTED_VALUE"""),"https://www.sec.gov/cgi-bin/browse-edgar?CIK=1833214")</f>
        <v>https://www.sec.gov/cgi-bin/browse-edgar?CIK=1833214</v>
      </c>
      <c r="V98" s="72" t="str">
        <f>IFERROR(__xludf.DUMMYFUNCTION("""COMPUTED_VALUE""")," Trading Below $10 (Common)           ")</f>
        <v> Trading Below $10 (Common)           </v>
      </c>
      <c r="W98" s="73"/>
      <c r="X98" s="74"/>
      <c r="Y98" s="75"/>
      <c r="Z98" s="60"/>
      <c r="AA98" s="60"/>
      <c r="AB98" s="60"/>
      <c r="AC98" s="60"/>
      <c r="AD98" s="73"/>
      <c r="AE98" s="73"/>
      <c r="AF98" s="76"/>
      <c r="AG98" s="60" t="str">
        <f>IFERROR(__xludf.DUMMYFUNCTION("""COMPUTED_VALUE"""),"")</f>
        <v/>
      </c>
    </row>
    <row r="99">
      <c r="A99" s="54" t="str">
        <f>IFERROR(__xludf.DUMMYFUNCTION("""COMPUTED_VALUE"""),"BENE")</f>
        <v>BENE</v>
      </c>
      <c r="B99" s="55" t="str">
        <f>IFERROR(__xludf.DUMMYFUNCTION("""COMPUTED_VALUE"""),"Benessere Capital Acquisition Corp.")</f>
        <v>Benessere Capital Acquisition Corp.</v>
      </c>
      <c r="C99" s="56" t="str">
        <f>IFERROR(__xludf.DUMMYFUNCTION("""COMPUTED_VALUE"""),"Searching")</f>
        <v>Searching</v>
      </c>
      <c r="D99" s="57" t="str">
        <f>IFERROR(__xludf.DUMMYFUNCTION("""COMPUTED_VALUE"""),"Tech, North/South America")</f>
        <v>Tech, North/South America</v>
      </c>
      <c r="E99" s="58"/>
      <c r="F99" s="59"/>
      <c r="G99" s="60">
        <f>IFERROR(__xludf.DUMMYFUNCTION("""COMPUTED_VALUE"""),1.015E8)</f>
        <v>101500000</v>
      </c>
      <c r="H99" s="60">
        <f>IFERROR(__xludf.DUMMYFUNCTION("""COMPUTED_VALUE"""),9.6316733E7)</f>
        <v>96316733</v>
      </c>
      <c r="I99" s="61">
        <f>IFERROR(__xludf.DUMMYFUNCTION("""COMPUTED_VALUE"""),10.24)</f>
        <v>10.24</v>
      </c>
      <c r="J99" s="62">
        <f>IFERROR(__xludf.DUMMYFUNCTION("""COMPUTED_VALUE"""),0.01891)</f>
        <v>0.01891</v>
      </c>
      <c r="K99" s="59">
        <f>IFERROR(__xludf.DUMMYFUNCTION("""COMPUTED_VALUE"""),10.74)</f>
        <v>10.74</v>
      </c>
      <c r="L99" s="63">
        <f>IFERROR(__xludf.DUMMYFUNCTION("""COMPUTED_VALUE"""),0.5665)</f>
        <v>0.5665</v>
      </c>
      <c r="M99" s="64" t="str">
        <f>IFERROR(__xludf.DUMMYFUNCTION("""COMPUTED_VALUE"""),"U: [3/4 W, 1 R (1/10 sh)]; W: [1:1, $11.5]")</f>
        <v>U: [3/4 W, 1 R (1/10 sh)]; W: [1:1, $11.5]</v>
      </c>
      <c r="N99" s="65" t="str">
        <f>IFERROR(__xludf.DUMMYFUNCTION("""COMPUTED_VALUE"""),"")</f>
        <v/>
      </c>
      <c r="O99" s="66">
        <f>IFERROR(__xludf.DUMMYFUNCTION("""COMPUTED_VALUE"""),0.0)</f>
        <v>0</v>
      </c>
      <c r="P99" s="67">
        <f>IFERROR(__xludf.DUMMYFUNCTION("""COMPUTED_VALUE"""),44200.0)</f>
        <v>44200</v>
      </c>
      <c r="Q99" s="68">
        <f>IFERROR(__xludf.DUMMYFUNCTION("""COMPUTED_VALUE"""),101.5)</f>
        <v>101.5</v>
      </c>
      <c r="R99" s="69" t="str">
        <f>IFERROR(__xludf.DUMMYFUNCTION("""COMPUTED_VALUE"""),"Kingswood Capital Markets")</f>
        <v>Kingswood Capital Markets</v>
      </c>
      <c r="S99" s="64">
        <f>IFERROR(__xludf.DUMMYFUNCTION("""COMPUTED_VALUE"""),44747.5)</f>
        <v>44747.5</v>
      </c>
      <c r="T99" s="70">
        <f>IFERROR(__xludf.DUMMYFUNCTION("""COMPUTED_VALUE"""),0.17534246575342466)</f>
        <v>0.1753424658</v>
      </c>
      <c r="U99" s="71" t="str">
        <f>IFERROR(__xludf.DUMMYFUNCTION("""COMPUTED_VALUE"""),"https://www.sec.gov/cgi-bin/browse-edgar?CIK=1828735")</f>
        <v>https://www.sec.gov/cgi-bin/browse-edgar?CIK=1828735</v>
      </c>
      <c r="V99" s="72" t="str">
        <f>IFERROR(__xludf.DUMMYFUNCTION("""COMPUTED_VALUE"""),"       Has Rights     ")</f>
        <v>       Has Rights     </v>
      </c>
      <c r="W99" s="73"/>
      <c r="X99" s="74"/>
      <c r="Y99" s="75"/>
      <c r="Z99" s="60"/>
      <c r="AA99" s="60"/>
      <c r="AB99" s="60"/>
      <c r="AC99" s="60"/>
      <c r="AD99" s="73"/>
      <c r="AE99" s="73"/>
      <c r="AF99" s="76"/>
      <c r="AG99" s="60" t="str">
        <f>IFERROR(__xludf.DUMMYFUNCTION("""COMPUTED_VALUE"""),"")</f>
        <v/>
      </c>
    </row>
    <row r="100">
      <c r="A100" s="54" t="str">
        <f>IFERROR(__xludf.DUMMYFUNCTION("""COMPUTED_VALUE"""),"BGSX")</f>
        <v>BGSX</v>
      </c>
      <c r="B100" s="55" t="str">
        <f>IFERROR(__xludf.DUMMYFUNCTION("""COMPUTED_VALUE"""),"Build Acquisition Corp.")</f>
        <v>Build Acquisition Corp.</v>
      </c>
      <c r="C100" s="56" t="str">
        <f>IFERROR(__xludf.DUMMYFUNCTION("""COMPUTED_VALUE"""),"Searching (Pre Unit Split)")</f>
        <v>Searching (Pre Unit Split)</v>
      </c>
      <c r="D100" s="57" t="str">
        <f>IFERROR(__xludf.DUMMYFUNCTION("""COMPUTED_VALUE"""),"SaaS, Infrastructure Software, Fintech")</f>
        <v>SaaS, Infrastructure Software, Fintech</v>
      </c>
      <c r="E100" s="58"/>
      <c r="F100" s="59" t="str">
        <f>IFERROR(__xludf.DUMMYFUNCTION("""COMPUTED_VALUE"""),"Lanham Napier (Fmr CEO, Rackspace), Owen Van Natta (Fmr COO, Facebook; Former CEO, MySpace; Former Director, Zynga)")</f>
        <v>Lanham Napier (Fmr CEO, Rackspace), Owen Van Natta (Fmr COO, Facebook; Former CEO, MySpace; Former Director, Zynga)</v>
      </c>
      <c r="G100" s="60">
        <f>IFERROR(__xludf.DUMMYFUNCTION("""COMPUTED_VALUE"""),2.0E8)</f>
        <v>200000000</v>
      </c>
      <c r="H100" s="60" t="str">
        <f>IFERROR(__xludf.DUMMYFUNCTION("""COMPUTED_VALUE""")," ")</f>
        <v> </v>
      </c>
      <c r="I100" s="61" t="str">
        <f>IFERROR(__xludf.DUMMYFUNCTION("""COMPUTED_VALUE""")," ")</f>
        <v> </v>
      </c>
      <c r="J100" s="62" t="str">
        <f>IFERROR(__xludf.DUMMYFUNCTION("""COMPUTED_VALUE""")," ")</f>
        <v> </v>
      </c>
      <c r="K100" s="59">
        <f>IFERROR(__xludf.DUMMYFUNCTION("""COMPUTED_VALUE"""),9.99)</f>
        <v>9.99</v>
      </c>
      <c r="L100" s="63" t="str">
        <f>IFERROR(__xludf.DUMMYFUNCTION("""COMPUTED_VALUE""")," ")</f>
        <v> </v>
      </c>
      <c r="M100" s="64" t="str">
        <f>IFERROR(__xludf.DUMMYFUNCTION("""COMPUTED_VALUE"""),"U: [1/3 W]; W: [1:1, $11.5]")</f>
        <v>U: [1/3 W]; W: [1:1, $11.5]</v>
      </c>
      <c r="N100" s="65">
        <f>IFERROR(__xludf.DUMMYFUNCTION("""COMPUTED_VALUE"""),44323.0)</f>
        <v>44323</v>
      </c>
      <c r="O100" s="66">
        <f>IFERROR(__xludf.DUMMYFUNCTION("""COMPUTED_VALUE"""),0.0)</f>
        <v>0</v>
      </c>
      <c r="P100" s="67">
        <f>IFERROR(__xludf.DUMMYFUNCTION("""COMPUTED_VALUE"""),44271.0)</f>
        <v>44271</v>
      </c>
      <c r="Q100" s="68">
        <f>IFERROR(__xludf.DUMMYFUNCTION("""COMPUTED_VALUE"""),200.0)</f>
        <v>200</v>
      </c>
      <c r="R100" s="69" t="str">
        <f>IFERROR(__xludf.DUMMYFUNCTION("""COMPUTED_VALUE"""),"Cowen, Allen &amp; Company LLC")</f>
        <v>Cowen, Allen &amp; Company LLC</v>
      </c>
      <c r="S100" s="64">
        <f>IFERROR(__xludf.DUMMYFUNCTION("""COMPUTED_VALUE"""),45001.0)</f>
        <v>45001</v>
      </c>
      <c r="T100" s="70">
        <f>IFERROR(__xludf.DUMMYFUNCTION("""COMPUTED_VALUE"""),0.03424657534246575)</f>
        <v>0.03424657534</v>
      </c>
      <c r="U100" s="71" t="str">
        <f>IFERROR(__xludf.DUMMYFUNCTION("""COMPUTED_VALUE"""),"https://www.sec.gov/cgi-bin/browse-edgar?CIK=1838666")</f>
        <v>https://www.sec.gov/cgi-bin/browse-edgar?CIK=1838666</v>
      </c>
      <c r="V100" s="72" t="str">
        <f>IFERROR(__xludf.DUMMYFUNCTION("""COMPUTED_VALUE"""),"Venture Capital         Well-known Sponsor   ")</f>
        <v>Venture Capital         Well-known Sponsor   </v>
      </c>
      <c r="W100" s="73"/>
      <c r="X100" s="74"/>
      <c r="Y100" s="75"/>
      <c r="Z100" s="60"/>
      <c r="AA100" s="60"/>
      <c r="AB100" s="60"/>
      <c r="AC100" s="60"/>
      <c r="AD100" s="73"/>
      <c r="AE100" s="73"/>
      <c r="AF100" s="76"/>
      <c r="AG100" s="60"/>
    </row>
    <row r="101">
      <c r="A101" s="54" t="str">
        <f>IFERROR(__xludf.DUMMYFUNCTION("""COMPUTED_VALUE"""),"BHMC")</f>
        <v>BHMC</v>
      </c>
      <c r="B101" s="55" t="str">
        <f>IFERROR(__xludf.DUMMYFUNCTION("""COMPUTED_VALUE"""),"Blueprint Health Merger Corp.")</f>
        <v>Blueprint Health Merger Corp.</v>
      </c>
      <c r="C101" s="56" t="str">
        <f>IFERROR(__xludf.DUMMYFUNCTION("""COMPUTED_VALUE"""),"Pre IPO")</f>
        <v>Pre IPO</v>
      </c>
      <c r="D101" s="77" t="str">
        <f>IFERROR(__xludf.DUMMYFUNCTION("""COMPUTED_VALUE"""),"Digital Health")</f>
        <v>Digital Health</v>
      </c>
      <c r="E101" s="58"/>
      <c r="F101" s="59" t="str">
        <f>IFERROR(__xludf.DUMMYFUNCTION("""COMPUTED_VALUE"""),"Dr. Rajiv Kumar (Chief Medical Officer of Virgin Pulse), Neil Parikh (Co-founder &amp; Director of Casper Sleep), Richard Harrington (Former CEO of Thomson Reuters, Former Director of Aetna &amp; Xerox)")</f>
        <v>Dr. Rajiv Kumar (Chief Medical Officer of Virgin Pulse), Neil Parikh (Co-founder &amp; Director of Casper Sleep), Richard Harrington (Former CEO of Thomson Reuters, Former Director of Aetna &amp; Xerox)</v>
      </c>
      <c r="G101" s="60">
        <f>IFERROR(__xludf.DUMMYFUNCTION("""COMPUTED_VALUE"""),2.0E8)</f>
        <v>200000000</v>
      </c>
      <c r="H101" s="60" t="str">
        <f>IFERROR(__xludf.DUMMYFUNCTION("""COMPUTED_VALUE""")," ")</f>
        <v> </v>
      </c>
      <c r="I101" s="61" t="str">
        <f>IFERROR(__xludf.DUMMYFUNCTION("""COMPUTED_VALUE""")," ")</f>
        <v> </v>
      </c>
      <c r="J101" s="62" t="str">
        <f>IFERROR(__xludf.DUMMYFUNCTION("""COMPUTED_VALUE""")," ")</f>
        <v> </v>
      </c>
      <c r="K101" s="59" t="str">
        <f>IFERROR(__xludf.DUMMYFUNCTION("""COMPUTED_VALUE""")," ")</f>
        <v> </v>
      </c>
      <c r="L101" s="63" t="str">
        <f>IFERROR(__xludf.DUMMYFUNCTION("""COMPUTED_VALUE""")," ")</f>
        <v> </v>
      </c>
      <c r="M101" s="64" t="str">
        <f>IFERROR(__xludf.DUMMYFUNCTION("""COMPUTED_VALUE"""),"U: [1/3 W]; W: [1:1, $11.5]")</f>
        <v>U: [1/3 W]; W: [1:1, $11.5]</v>
      </c>
      <c r="N101" s="65" t="str">
        <f>IFERROR(__xludf.DUMMYFUNCTION("""COMPUTED_VALUE"""),"")</f>
        <v/>
      </c>
      <c r="O101" s="66">
        <f>IFERROR(__xludf.DUMMYFUNCTION("""COMPUTED_VALUE"""),0.0)</f>
        <v>0</v>
      </c>
      <c r="P101" s="67"/>
      <c r="Q101" s="68">
        <f>IFERROR(__xludf.DUMMYFUNCTION("""COMPUTED_VALUE"""),200.0)</f>
        <v>200</v>
      </c>
      <c r="R101" s="69" t="str">
        <f>IFERROR(__xludf.DUMMYFUNCTION("""COMPUTED_VALUE"""),"Credit Suisse")</f>
        <v>Credit Suisse</v>
      </c>
      <c r="S101" s="64">
        <f>IFERROR(__xludf.DUMMYFUNCTION("""COMPUTED_VALUE"""),45086.0)</f>
        <v>45086</v>
      </c>
      <c r="T101" s="70" t="str">
        <f>IFERROR(__xludf.DUMMYFUNCTION("""COMPUTED_VALUE"""),"")</f>
        <v/>
      </c>
      <c r="U101" s="71" t="str">
        <f>IFERROR(__xludf.DUMMYFUNCTION("""COMPUTED_VALUE"""),"https://www.sec.gov/cgi-bin/browse-edgar?CIK=1847961")</f>
        <v>https://www.sec.gov/cgi-bin/browse-edgar?CIK=1847961</v>
      </c>
      <c r="V101" s="72" t="str">
        <f>IFERROR(__xludf.DUMMYFUNCTION("""COMPUTED_VALUE"""),"Healthcare            ")</f>
        <v>Healthcare            </v>
      </c>
      <c r="W101" s="73"/>
      <c r="X101" s="74"/>
      <c r="Y101" s="75"/>
      <c r="Z101" s="60"/>
      <c r="AA101" s="60"/>
      <c r="AB101" s="60"/>
      <c r="AC101" s="60"/>
      <c r="AD101" s="73"/>
      <c r="AE101" s="73"/>
      <c r="AF101" s="76"/>
      <c r="AG101" s="60"/>
    </row>
    <row r="102">
      <c r="A102" s="54" t="str">
        <f>IFERROR(__xludf.DUMMYFUNCTION("""COMPUTED_VALUE"""),"BHSE")</f>
        <v>BHSE</v>
      </c>
      <c r="B102" s="55" t="str">
        <f>IFERROR(__xludf.DUMMYFUNCTION("""COMPUTED_VALUE"""),"Bull Horn Holdings Corp.")</f>
        <v>Bull Horn Holdings Corp.</v>
      </c>
      <c r="C102" s="56" t="str">
        <f>IFERROR(__xludf.DUMMYFUNCTION("""COMPUTED_VALUE"""),"Searching")</f>
        <v>Searching</v>
      </c>
      <c r="D102" s="57" t="str">
        <f>IFERROR(__xludf.DUMMYFUNCTION("""COMPUTED_VALUE"""),"Sports franchises, and sports tech, entertainment and brands")</f>
        <v>Sports franchises, and sports tech, entertainment and brands</v>
      </c>
      <c r="E102" s="58"/>
      <c r="F102" s="59" t="str">
        <f>IFERROR(__xludf.DUMMYFUNCTION("""COMPUTED_VALUE"""),"Baron Davis (Former NBA Player)")</f>
        <v>Baron Davis (Former NBA Player)</v>
      </c>
      <c r="G102" s="60">
        <f>IFERROR(__xludf.DUMMYFUNCTION("""COMPUTED_VALUE"""),7.575E7)</f>
        <v>75750000</v>
      </c>
      <c r="H102" s="60">
        <f>IFERROR(__xludf.DUMMYFUNCTION("""COMPUTED_VALUE"""),9.3735938E7)</f>
        <v>93735938</v>
      </c>
      <c r="I102" s="61">
        <f>IFERROR(__xludf.DUMMYFUNCTION("""COMPUTED_VALUE"""),9.9985)</f>
        <v>9.9985</v>
      </c>
      <c r="J102" s="62">
        <f>IFERROR(__xludf.DUMMYFUNCTION("""COMPUTED_VALUE"""),0.00185)</f>
        <v>0.00185</v>
      </c>
      <c r="K102" s="59" t="str">
        <f>IFERROR(__xludf.DUMMYFUNCTION("""COMPUTED_VALUE""")," ")</f>
        <v> </v>
      </c>
      <c r="L102" s="63">
        <f>IFERROR(__xludf.DUMMYFUNCTION("""COMPUTED_VALUE"""),0.6196)</f>
        <v>0.6196</v>
      </c>
      <c r="M102" s="64" t="str">
        <f>IFERROR(__xludf.DUMMYFUNCTION("""COMPUTED_VALUE"""),"U: [1 W]; W: [2:1, $11.5]")</f>
        <v>U: [1 W]; W: [2:1, $11.5]</v>
      </c>
      <c r="N102" s="65" t="str">
        <f>IFERROR(__xludf.DUMMYFUNCTION("""COMPUTED_VALUE"""),"")</f>
        <v/>
      </c>
      <c r="O102" s="66">
        <f>IFERROR(__xludf.DUMMYFUNCTION("""COMPUTED_VALUE"""),0.0)</f>
        <v>0</v>
      </c>
      <c r="P102" s="67">
        <f>IFERROR(__xludf.DUMMYFUNCTION("""COMPUTED_VALUE"""),44133.0)</f>
        <v>44133</v>
      </c>
      <c r="Q102" s="68">
        <f>IFERROR(__xludf.DUMMYFUNCTION("""COMPUTED_VALUE"""),75.75)</f>
        <v>75.75</v>
      </c>
      <c r="R102" s="69" t="str">
        <f>IFERROR(__xludf.DUMMYFUNCTION("""COMPUTED_VALUE"""),"Imperial Capital
")</f>
        <v>Imperial Capital
</v>
      </c>
      <c r="S102" s="64">
        <f>IFERROR(__xludf.DUMMYFUNCTION("""COMPUTED_VALUE"""),44771.75)</f>
        <v>44771.75</v>
      </c>
      <c r="T102" s="70">
        <f>IFERROR(__xludf.DUMMYFUNCTION("""COMPUTED_VALUE"""),0.2551859099804305)</f>
        <v>0.25518591</v>
      </c>
      <c r="U102" s="71" t="str">
        <f>IFERROR(__xludf.DUMMYFUNCTION("""COMPUTED_VALUE"""),"https://www.sec.gov/cgi-bin/browse-edgar?CIK=1759186")</f>
        <v>https://www.sec.gov/cgi-bin/browse-edgar?CIK=1759186</v>
      </c>
      <c r="V102" s="72" t="str">
        <f>IFERROR(__xludf.DUMMYFUNCTION("""COMPUTED_VALUE""")," Trading Below $10 (Common)           ")</f>
        <v> Trading Below $10 (Common)           </v>
      </c>
      <c r="W102" s="73"/>
      <c r="X102" s="74"/>
      <c r="Y102" s="75"/>
      <c r="Z102" s="60"/>
      <c r="AA102" s="60"/>
      <c r="AB102" s="60"/>
      <c r="AC102" s="60"/>
      <c r="AD102" s="73"/>
      <c r="AE102" s="73"/>
      <c r="AF102" s="76"/>
      <c r="AG102" s="60" t="str">
        <f>IFERROR(__xludf.DUMMYFUNCTION("""COMPUTED_VALUE"""),"")</f>
        <v/>
      </c>
    </row>
    <row r="103">
      <c r="A103" s="54" t="str">
        <f>IFERROR(__xludf.DUMMYFUNCTION("""COMPUTED_VALUE"""),"BIOT")</f>
        <v>BIOT</v>
      </c>
      <c r="B103" s="55" t="str">
        <f>IFERROR(__xludf.DUMMYFUNCTION("""COMPUTED_VALUE"""),"Biotech Acquisition Company")</f>
        <v>Biotech Acquisition Company</v>
      </c>
      <c r="C103" s="56" t="str">
        <f>IFERROR(__xludf.DUMMYFUNCTION("""COMPUTED_VALUE"""),"Searching")</f>
        <v>Searching</v>
      </c>
      <c r="D103" s="57" t="str">
        <f>IFERROR(__xludf.DUMMYFUNCTION("""COMPUTED_VALUE"""),"Healthcare, Life Sciences/ Biotech, Healthcare IT, MedTech")</f>
        <v>Healthcare, Life Sciences/ Biotech, Healthcare IT, MedTech</v>
      </c>
      <c r="E103" s="58"/>
      <c r="F103" s="59" t="str">
        <f>IFERROR(__xludf.DUMMYFUNCTION("""COMPUTED_VALUE"""),"Dr. Michael Shleifer (Co-founder/MP, SPRIM), Tanguy Serra (Co-founder, Vivint Solar; Fmr COO, SolarCity)")</f>
        <v>Dr. Michael Shleifer (Co-founder/MP, SPRIM), Tanguy Serra (Co-founder, Vivint Solar; Fmr COO, SolarCity)</v>
      </c>
      <c r="G103" s="60">
        <f>IFERROR(__xludf.DUMMYFUNCTION("""COMPUTED_VALUE"""),2.3E8)</f>
        <v>230000000</v>
      </c>
      <c r="H103" s="60">
        <f>IFERROR(__xludf.DUMMYFUNCTION("""COMPUTED_VALUE"""),2.2494E8)</f>
        <v>224940000</v>
      </c>
      <c r="I103" s="61">
        <f>IFERROR(__xludf.DUMMYFUNCTION("""COMPUTED_VALUE"""),9.78)</f>
        <v>9.78</v>
      </c>
      <c r="J103" s="62">
        <f>IFERROR(__xludf.DUMMYFUNCTION("""COMPUTED_VALUE"""),0.00814)</f>
        <v>0.00814</v>
      </c>
      <c r="K103" s="59">
        <f>IFERROR(__xludf.DUMMYFUNCTION("""COMPUTED_VALUE"""),10.06)</f>
        <v>10.06</v>
      </c>
      <c r="L103" s="63">
        <f>IFERROR(__xludf.DUMMYFUNCTION("""COMPUTED_VALUE"""),0.6534)</f>
        <v>0.6534</v>
      </c>
      <c r="M103" s="64" t="str">
        <f>IFERROR(__xludf.DUMMYFUNCTION("""COMPUTED_VALUE"""),"U: [1/2 W]; W: [1:1, $11.5]")</f>
        <v>U: [1/2 W]; W: [1:1, $11.5]</v>
      </c>
      <c r="N103" s="65" t="str">
        <f>IFERROR(__xludf.DUMMYFUNCTION("""COMPUTED_VALUE"""),"")</f>
        <v/>
      </c>
      <c r="O103" s="66">
        <f>IFERROR(__xludf.DUMMYFUNCTION("""COMPUTED_VALUE"""),0.0)</f>
        <v>0</v>
      </c>
      <c r="P103" s="67">
        <f>IFERROR(__xludf.DUMMYFUNCTION("""COMPUTED_VALUE"""),44221.0)</f>
        <v>44221</v>
      </c>
      <c r="Q103" s="68">
        <f>IFERROR(__xludf.DUMMYFUNCTION("""COMPUTED_VALUE"""),230.0)</f>
        <v>230</v>
      </c>
      <c r="R103" s="69" t="str">
        <f>IFERROR(__xludf.DUMMYFUNCTION("""COMPUTED_VALUE"""),"Cantor")</f>
        <v>Cantor</v>
      </c>
      <c r="S103" s="64">
        <f>IFERROR(__xludf.DUMMYFUNCTION("""COMPUTED_VALUE"""),44951.0)</f>
        <v>44951</v>
      </c>
      <c r="T103" s="70">
        <f>IFERROR(__xludf.DUMMYFUNCTION("""COMPUTED_VALUE"""),0.10273972602739725)</f>
        <v>0.102739726</v>
      </c>
      <c r="U103" s="71" t="str">
        <f>IFERROR(__xludf.DUMMYFUNCTION("""COMPUTED_VALUE"""),"https://www.sec.gov/cgi-bin/browse-edgar?CIK=1825413")</f>
        <v>https://www.sec.gov/cgi-bin/browse-edgar?CIK=1825413</v>
      </c>
      <c r="V103" s="72" t="str">
        <f>IFERROR(__xludf.DUMMYFUNCTION("""COMPUTED_VALUE""")," Trading Below $10 (Common)           ")</f>
        <v> Trading Below $10 (Common)           </v>
      </c>
      <c r="W103" s="73"/>
      <c r="X103" s="74"/>
      <c r="Y103" s="75"/>
      <c r="Z103" s="60"/>
      <c r="AA103" s="60"/>
      <c r="AB103" s="60"/>
      <c r="AC103" s="60"/>
      <c r="AD103" s="73"/>
      <c r="AE103" s="73"/>
      <c r="AF103" s="76"/>
      <c r="AG103" s="60" t="str">
        <f>IFERROR(__xludf.DUMMYFUNCTION("""COMPUTED_VALUE"""),"")</f>
        <v/>
      </c>
    </row>
    <row r="104">
      <c r="A104" s="54" t="str">
        <f>IFERROR(__xludf.DUMMYFUNCTION("""COMPUTED_VALUE"""),"BITE")</f>
        <v>BITE</v>
      </c>
      <c r="B104" s="55" t="str">
        <f>IFERROR(__xludf.DUMMYFUNCTION("""COMPUTED_VALUE"""),"Bite Acquisition Corp")</f>
        <v>Bite Acquisition Corp</v>
      </c>
      <c r="C104" s="56" t="str">
        <f>IFERROR(__xludf.DUMMYFUNCTION("""COMPUTED_VALUE"""),"Searching")</f>
        <v>Searching</v>
      </c>
      <c r="D104" s="57" t="str">
        <f>IFERROR(__xludf.DUMMYFUNCTION("""COMPUTED_VALUE"""),"Restaurant, North America")</f>
        <v>Restaurant, North America</v>
      </c>
      <c r="E104" s="58"/>
      <c r="F104" s="59" t="str">
        <f>IFERROR(__xludf.DUMMYFUNCTION("""COMPUTED_VALUE"""),"Julia Stewart (Fmr CEO, IHOP; Fmr CEO, Dine Brands Global)")</f>
        <v>Julia Stewart (Fmr CEO, IHOP; Fmr CEO, Dine Brands Global)</v>
      </c>
      <c r="G104" s="60">
        <f>IFERROR(__xludf.DUMMYFUNCTION("""COMPUTED_VALUE"""),2.0E8)</f>
        <v>200000000</v>
      </c>
      <c r="H104" s="60"/>
      <c r="I104" s="61">
        <f>IFERROR(__xludf.DUMMYFUNCTION("""COMPUTED_VALUE"""),9.79)</f>
        <v>9.79</v>
      </c>
      <c r="J104" s="62">
        <f>IFERROR(__xludf.DUMMYFUNCTION("""COMPUTED_VALUE"""),-0.00102)</f>
        <v>-0.00102</v>
      </c>
      <c r="K104" s="59">
        <f>IFERROR(__xludf.DUMMYFUNCTION("""COMPUTED_VALUE"""),10.0)</f>
        <v>10</v>
      </c>
      <c r="L104" s="63">
        <f>IFERROR(__xludf.DUMMYFUNCTION("""COMPUTED_VALUE"""),0.58)</f>
        <v>0.58</v>
      </c>
      <c r="M104" s="64" t="str">
        <f>IFERROR(__xludf.DUMMYFUNCTION("""COMPUTED_VALUE"""),"U: [1/2 W]; W: [1:1, $11.5]")</f>
        <v>U: [1/2 W]; W: [1:1, $11.5]</v>
      </c>
      <c r="N104" s="65">
        <f>IFERROR(__xludf.DUMMYFUNCTION("""COMPUTED_VALUE"""),44291.0)</f>
        <v>44291</v>
      </c>
      <c r="O104" s="66">
        <f>IFERROR(__xludf.DUMMYFUNCTION("""COMPUTED_VALUE"""),0.0)</f>
        <v>0</v>
      </c>
      <c r="P104" s="67">
        <f>IFERROR(__xludf.DUMMYFUNCTION("""COMPUTED_VALUE"""),44239.0)</f>
        <v>44239</v>
      </c>
      <c r="Q104" s="68">
        <f>IFERROR(__xludf.DUMMYFUNCTION("""COMPUTED_VALUE"""),200.0)</f>
        <v>200</v>
      </c>
      <c r="R104" s="69" t="str">
        <f>IFERROR(__xludf.DUMMYFUNCTION("""COMPUTED_VALUE"""),"EarlyBirdCapital, Inc.")</f>
        <v>EarlyBirdCapital, Inc.</v>
      </c>
      <c r="S104" s="64">
        <f>IFERROR(__xludf.DUMMYFUNCTION("""COMPUTED_VALUE"""),44969.0)</f>
        <v>44969</v>
      </c>
      <c r="T104" s="70">
        <f>IFERROR(__xludf.DUMMYFUNCTION("""COMPUTED_VALUE"""),0.07808219178082192)</f>
        <v>0.07808219178</v>
      </c>
      <c r="U104" s="71" t="str">
        <f>IFERROR(__xludf.DUMMYFUNCTION("""COMPUTED_VALUE"""),"https://www.sec.gov/cgi-bin/browse-edgar?CIK=1831270")</f>
        <v>https://www.sec.gov/cgi-bin/browse-edgar?CIK=1831270</v>
      </c>
      <c r="V104" s="72" t="str">
        <f>IFERROR(__xludf.DUMMYFUNCTION("""COMPUTED_VALUE""")," Trading Below $10 (Common)           ")</f>
        <v> Trading Below $10 (Common)           </v>
      </c>
      <c r="W104" s="73"/>
      <c r="X104" s="74"/>
      <c r="Y104" s="75"/>
      <c r="Z104" s="60"/>
      <c r="AA104" s="60"/>
      <c r="AB104" s="60"/>
      <c r="AC104" s="60"/>
      <c r="AD104" s="73"/>
      <c r="AE104" s="73"/>
      <c r="AF104" s="76"/>
      <c r="AG104" s="60" t="str">
        <f>IFERROR(__xludf.DUMMYFUNCTION("""COMPUTED_VALUE"""),"")</f>
        <v/>
      </c>
    </row>
    <row r="105">
      <c r="A105" s="54" t="str">
        <f>IFERROR(__xludf.DUMMYFUNCTION("""COMPUTED_VALUE"""),"BLNG")</f>
        <v>BLNG</v>
      </c>
      <c r="B105" s="55" t="str">
        <f>IFERROR(__xludf.DUMMYFUNCTION("""COMPUTED_VALUE"""),"Belong Acquisition Corp.")</f>
        <v>Belong Acquisition Corp.</v>
      </c>
      <c r="C105" s="56" t="str">
        <f>IFERROR(__xludf.DUMMYFUNCTION("""COMPUTED_VALUE"""),"Pre IPO")</f>
        <v>Pre IPO</v>
      </c>
      <c r="D105" s="77" t="str">
        <f>IFERROR(__xludf.DUMMYFUNCTION("""COMPUTED_VALUE"""),"Tech (including e-commerce, software, and digital media)")</f>
        <v>Tech (including e-commerce, software, and digital media)</v>
      </c>
      <c r="E105" s="58"/>
      <c r="F105" s="59" t="str">
        <f>IFERROR(__xludf.DUMMYFUNCTION("""COMPUTED_VALUE"""),"Jennifer Deason (Former CFO of the Weather Channel), George Arison (Chairman &amp; Co-CEO of Shift Technologies), Jason Park (CFO of DraftKings), Dhani Jones (TV host, Former NFL player)")</f>
        <v>Jennifer Deason (Former CFO of the Weather Channel), George Arison (Chairman &amp; Co-CEO of Shift Technologies), Jason Park (CFO of DraftKings), Dhani Jones (TV host, Former NFL player)</v>
      </c>
      <c r="G105" s="60">
        <f>IFERROR(__xludf.DUMMYFUNCTION("""COMPUTED_VALUE"""),1.5E8)</f>
        <v>150000000</v>
      </c>
      <c r="H105" s="60" t="str">
        <f>IFERROR(__xludf.DUMMYFUNCTION("""COMPUTED_VALUE""")," ")</f>
        <v> </v>
      </c>
      <c r="I105" s="61" t="str">
        <f>IFERROR(__xludf.DUMMYFUNCTION("""COMPUTED_VALUE""")," ")</f>
        <v> </v>
      </c>
      <c r="J105" s="62" t="str">
        <f>IFERROR(__xludf.DUMMYFUNCTION("""COMPUTED_VALUE""")," ")</f>
        <v> </v>
      </c>
      <c r="K105" s="59" t="str">
        <f>IFERROR(__xludf.DUMMYFUNCTION("""COMPUTED_VALUE""")," ")</f>
        <v> </v>
      </c>
      <c r="L105" s="63" t="str">
        <f>IFERROR(__xludf.DUMMYFUNCTION("""COMPUTED_VALUE""")," ")</f>
        <v> </v>
      </c>
      <c r="M105" s="64" t="str">
        <f>IFERROR(__xludf.DUMMYFUNCTION("""COMPUTED_VALUE"""),"U: [1/3 W]; W: [1:1, $11.5]")</f>
        <v>U: [1/3 W]; W: [1:1, $11.5]</v>
      </c>
      <c r="N105" s="65" t="str">
        <f>IFERROR(__xludf.DUMMYFUNCTION("""COMPUTED_VALUE"""),"")</f>
        <v/>
      </c>
      <c r="O105" s="66">
        <f>IFERROR(__xludf.DUMMYFUNCTION("""COMPUTED_VALUE"""),0.0)</f>
        <v>0</v>
      </c>
      <c r="P105" s="67"/>
      <c r="Q105" s="68">
        <f>IFERROR(__xludf.DUMMYFUNCTION("""COMPUTED_VALUE"""),150.0)</f>
        <v>150</v>
      </c>
      <c r="R105" s="69" t="str">
        <f>IFERROR(__xludf.DUMMYFUNCTION("""COMPUTED_VALUE"""),"Wells Fargo Securities, Loop Capital Markets")</f>
        <v>Wells Fargo Securities, Loop Capital Markets</v>
      </c>
      <c r="S105" s="64">
        <f>IFERROR(__xludf.DUMMYFUNCTION("""COMPUTED_VALUE"""),45086.0)</f>
        <v>45086</v>
      </c>
      <c r="T105" s="70" t="str">
        <f>IFERROR(__xludf.DUMMYFUNCTION("""COMPUTED_VALUE"""),"")</f>
        <v/>
      </c>
      <c r="U105" s="71" t="str">
        <f>IFERROR(__xludf.DUMMYFUNCTION("""COMPUTED_VALUE"""),"https://www.sec.gov/cgi-bin/browse-edgar?CIK=1842384")</f>
        <v>https://www.sec.gov/cgi-bin/browse-edgar?CIK=1842384</v>
      </c>
      <c r="V105" s="72" t="str">
        <f>IFERROR(__xludf.DUMMYFUNCTION("""COMPUTED_VALUE"""),"            ")</f>
        <v>            </v>
      </c>
      <c r="W105" s="73"/>
      <c r="X105" s="74"/>
      <c r="Y105" s="75"/>
      <c r="Z105" s="60"/>
      <c r="AA105" s="60"/>
      <c r="AB105" s="60"/>
      <c r="AC105" s="60"/>
      <c r="AD105" s="73"/>
      <c r="AE105" s="73"/>
      <c r="AF105" s="76"/>
      <c r="AG105" s="60"/>
    </row>
    <row r="106">
      <c r="A106" s="54" t="str">
        <f>IFERROR(__xludf.DUMMYFUNCTION("""COMPUTED_VALUE"""),"BLSA")</f>
        <v>BLSA</v>
      </c>
      <c r="B106" s="55" t="str">
        <f>IFERROR(__xludf.DUMMYFUNCTION("""COMPUTED_VALUE"""),"BCLS Acquisition Corp.")</f>
        <v>BCLS Acquisition Corp.</v>
      </c>
      <c r="C106" s="56" t="str">
        <f>IFERROR(__xludf.DUMMYFUNCTION("""COMPUTED_VALUE"""),"Searching")</f>
        <v>Searching</v>
      </c>
      <c r="D106" s="57" t="str">
        <f>IFERROR(__xludf.DUMMYFUNCTION("""COMPUTED_VALUE"""),"Healthcare, Biopharma")</f>
        <v>Healthcare, Biopharma</v>
      </c>
      <c r="E106" s="58"/>
      <c r="F106" s="59" t="str">
        <f>IFERROR(__xludf.DUMMYFUNCTION("""COMPUTED_VALUE"""),"Adam Koppel (Co-founder, Bain Capital Life Sciences), Jeffrey Shwartz (Co-founder, Bain Capital Life Sciences)")</f>
        <v>Adam Koppel (Co-founder, Bain Capital Life Sciences), Jeffrey Shwartz (Co-founder, Bain Capital Life Sciences)</v>
      </c>
      <c r="G106" s="60">
        <f>IFERROR(__xludf.DUMMYFUNCTION("""COMPUTED_VALUE"""),1.4375E8)</f>
        <v>143750000</v>
      </c>
      <c r="H106" s="60">
        <f>IFERROR(__xludf.DUMMYFUNCTION("""COMPUTED_VALUE"""),3.7015625E7)</f>
        <v>37015625</v>
      </c>
      <c r="I106" s="61">
        <f>IFERROR(__xludf.DUMMYFUNCTION("""COMPUTED_VALUE"""),10.3)</f>
        <v>10.3</v>
      </c>
      <c r="J106" s="62">
        <f>IFERROR(__xludf.DUMMYFUNCTION("""COMPUTED_VALUE"""),-0.0237)</f>
        <v>-0.0237</v>
      </c>
      <c r="K106" s="59" t="str">
        <f>IFERROR(__xludf.DUMMYFUNCTION("""COMPUTED_VALUE""")," ")</f>
        <v> </v>
      </c>
      <c r="L106" s="63" t="str">
        <f>IFERROR(__xludf.DUMMYFUNCTION("""COMPUTED_VALUE""")," ")</f>
        <v> </v>
      </c>
      <c r="M106" s="64" t="str">
        <f>IFERROR(__xludf.DUMMYFUNCTION("""COMPUTED_VALUE"""),"U: [No units]; W: [No warrants]")</f>
        <v>U: [No units]; W: [No warrants]</v>
      </c>
      <c r="N106" s="65" t="str">
        <f>IFERROR(__xludf.DUMMYFUNCTION("""COMPUTED_VALUE"""),"")</f>
        <v/>
      </c>
      <c r="O106" s="66">
        <f>IFERROR(__xludf.DUMMYFUNCTION("""COMPUTED_VALUE"""),0.0)</f>
        <v>0</v>
      </c>
      <c r="P106" s="67">
        <f>IFERROR(__xludf.DUMMYFUNCTION("""COMPUTED_VALUE"""),44125.0)</f>
        <v>44125</v>
      </c>
      <c r="Q106" s="68">
        <f>IFERROR(__xludf.DUMMYFUNCTION("""COMPUTED_VALUE"""),143.75)</f>
        <v>143.75</v>
      </c>
      <c r="R106" s="69" t="str">
        <f>IFERROR(__xludf.DUMMYFUNCTION("""COMPUTED_VALUE"""),"Goldman Sachs, Jefferies")</f>
        <v>Goldman Sachs, Jefferies</v>
      </c>
      <c r="S106" s="64">
        <f>IFERROR(__xludf.DUMMYFUNCTION("""COMPUTED_VALUE"""),44855.0)</f>
        <v>44855</v>
      </c>
      <c r="T106" s="70">
        <f>IFERROR(__xludf.DUMMYFUNCTION("""COMPUTED_VALUE"""),0.23424657534246576)</f>
        <v>0.2342465753</v>
      </c>
      <c r="U106" s="71" t="str">
        <f>IFERROR(__xludf.DUMMYFUNCTION("""COMPUTED_VALUE"""),"https://www.sec.gov/cgi-bin/browse-edgar?CIK=1823200")</f>
        <v>https://www.sec.gov/cgi-bin/browse-edgar?CIK=1823200</v>
      </c>
      <c r="V106" s="72" t="str">
        <f>IFERROR(__xludf.DUMMYFUNCTION("""COMPUTED_VALUE"""),"           Top Tier UW ")</f>
        <v>           Top Tier UW </v>
      </c>
      <c r="W106" s="73"/>
      <c r="X106" s="74"/>
      <c r="Y106" s="75"/>
      <c r="Z106" s="60"/>
      <c r="AA106" s="60"/>
      <c r="AB106" s="60"/>
      <c r="AC106" s="60"/>
      <c r="AD106" s="73"/>
      <c r="AE106" s="73"/>
      <c r="AF106" s="76"/>
      <c r="AG106" s="60" t="str">
        <f>IFERROR(__xludf.DUMMYFUNCTION("""COMPUTED_VALUE"""),"")</f>
        <v/>
      </c>
    </row>
    <row r="107">
      <c r="A107" s="54" t="str">
        <f>IFERROR(__xludf.DUMMYFUNCTION("""COMPUTED_VALUE"""),"BLTS")</f>
        <v>BLTS</v>
      </c>
      <c r="B107" s="55" t="str">
        <f>IFERROR(__xludf.DUMMYFUNCTION("""COMPUTED_VALUE"""),"Bright Lights Acquisition Corp.")</f>
        <v>Bright Lights Acquisition Corp.</v>
      </c>
      <c r="C107" s="56" t="str">
        <f>IFERROR(__xludf.DUMMYFUNCTION("""COMPUTED_VALUE"""),"Searching")</f>
        <v>Searching</v>
      </c>
      <c r="D107" s="57" t="str">
        <f>IFERROR(__xludf.DUMMYFUNCTION("""COMPUTED_VALUE"""),"Consumer Products, Media, Entertainment, Sports ")</f>
        <v>Consumer Products, Media, Entertainment, Sports </v>
      </c>
      <c r="E107" s="58"/>
      <c r="F107" s="59" t="str">
        <f>IFERROR(__xludf.DUMMYFUNCTION("""COMPUTED_VALUE"""),"Allen Shapiro (Founder, Mosaic Media Group), Ciara Wilson (Singer), Peter Guber (Chairman/CEO, Mandalay Entertainment Group; Fmr CEO, Sony Pictures Entertainment), Mark Shapiro (Fmr Pres, Endeavor), Selena Kalvaria (CMO, Away)")</f>
        <v>Allen Shapiro (Founder, Mosaic Media Group), Ciara Wilson (Singer), Peter Guber (Chairman/CEO, Mandalay Entertainment Group; Fmr CEO, Sony Pictures Entertainment), Mark Shapiro (Fmr Pres, Endeavor), Selena Kalvaria (CMO, Away)</v>
      </c>
      <c r="G107" s="60">
        <f>IFERROR(__xludf.DUMMYFUNCTION("""COMPUTED_VALUE"""),2.3E8)</f>
        <v>230000000</v>
      </c>
      <c r="H107" s="60">
        <f>IFERROR(__xludf.DUMMYFUNCTION("""COMPUTED_VALUE"""),2.2655E8)</f>
        <v>226550000</v>
      </c>
      <c r="I107" s="61">
        <f>IFERROR(__xludf.DUMMYFUNCTION("""COMPUTED_VALUE"""),9.85)</f>
        <v>9.85</v>
      </c>
      <c r="J107" s="62">
        <f>IFERROR(__xludf.DUMMYFUNCTION("""COMPUTED_VALUE"""),0.01026)</f>
        <v>0.01026</v>
      </c>
      <c r="K107" s="59">
        <f>IFERROR(__xludf.DUMMYFUNCTION("""COMPUTED_VALUE"""),10.05)</f>
        <v>10.05</v>
      </c>
      <c r="L107" s="63">
        <f>IFERROR(__xludf.DUMMYFUNCTION("""COMPUTED_VALUE"""),0.661)</f>
        <v>0.661</v>
      </c>
      <c r="M107" s="64" t="str">
        <f>IFERROR(__xludf.DUMMYFUNCTION("""COMPUTED_VALUE"""),"U: [1/2 W]; W: [1:1, $11.5]")</f>
        <v>U: [1/2 W]; W: [1:1, $11.5]</v>
      </c>
      <c r="N107" s="65">
        <f>IFERROR(__xludf.DUMMYFUNCTION("""COMPUTED_VALUE"""),44256.0)</f>
        <v>44256</v>
      </c>
      <c r="O107" s="66">
        <f>IFERROR(__xludf.DUMMYFUNCTION("""COMPUTED_VALUE"""),0.0)</f>
        <v>0</v>
      </c>
      <c r="P107" s="67">
        <f>IFERROR(__xludf.DUMMYFUNCTION("""COMPUTED_VALUE"""),44202.0)</f>
        <v>44202</v>
      </c>
      <c r="Q107" s="68">
        <f>IFERROR(__xludf.DUMMYFUNCTION("""COMPUTED_VALUE"""),230.0)</f>
        <v>230</v>
      </c>
      <c r="R107" s="69" t="str">
        <f>IFERROR(__xludf.DUMMYFUNCTION("""COMPUTED_VALUE"""),"Jefferies, Moelis &amp; Company")</f>
        <v>Jefferies, Moelis &amp; Company</v>
      </c>
      <c r="S107" s="64">
        <f>IFERROR(__xludf.DUMMYFUNCTION("""COMPUTED_VALUE"""),44932.0)</f>
        <v>44932</v>
      </c>
      <c r="T107" s="70">
        <f>IFERROR(__xludf.DUMMYFUNCTION("""COMPUTED_VALUE"""),0.12876712328767123)</f>
        <v>0.1287671233</v>
      </c>
      <c r="U107" s="71" t="str">
        <f>IFERROR(__xludf.DUMMYFUNCTION("""COMPUTED_VALUE"""),"https://www.sec.gov/cgi-bin/browse-edgar?CIK=1827328")</f>
        <v>https://www.sec.gov/cgi-bin/browse-edgar?CIK=1827328</v>
      </c>
      <c r="V107" s="72" t="str">
        <f>IFERROR(__xludf.DUMMYFUNCTION("""COMPUTED_VALUE""")," Trading Below $10 (Common)           ")</f>
        <v> Trading Below $10 (Common)           </v>
      </c>
      <c r="W107" s="73"/>
      <c r="X107" s="74"/>
      <c r="Y107" s="75"/>
      <c r="Z107" s="60"/>
      <c r="AA107" s="60"/>
      <c r="AB107" s="60"/>
      <c r="AC107" s="60"/>
      <c r="AD107" s="73"/>
      <c r="AE107" s="73"/>
      <c r="AF107" s="76"/>
      <c r="AG107" s="60" t="str">
        <f>IFERROR(__xludf.DUMMYFUNCTION("""COMPUTED_VALUE"""),"")</f>
        <v/>
      </c>
    </row>
    <row r="108">
      <c r="A108" s="54" t="str">
        <f>IFERROR(__xludf.DUMMYFUNCTION("""COMPUTED_VALUE"""),"BLUA")</f>
        <v>BLUA</v>
      </c>
      <c r="B108" s="55" t="str">
        <f>IFERROR(__xludf.DUMMYFUNCTION("""COMPUTED_VALUE"""),"BlueRiver Acquisition Corp.")</f>
        <v>BlueRiver Acquisition Corp.</v>
      </c>
      <c r="C108" s="56" t="str">
        <f>IFERROR(__xludf.DUMMYFUNCTION("""COMPUTED_VALUE"""),"Searching")</f>
        <v>Searching</v>
      </c>
      <c r="D108" s="57" t="str">
        <f>IFERROR(__xludf.DUMMYFUNCTION("""COMPUTED_VALUE"""),"Tech, Media, Telecom, Entertainment")</f>
        <v>Tech, Media, Telecom, Entertainment</v>
      </c>
      <c r="E108" s="58"/>
      <c r="F108" s="59" t="str">
        <f>IFERROR(__xludf.DUMMYFUNCTION("""COMPUTED_VALUE"""),"Randall Mays (Fmr CEO, Clear Channel Entertainment; Fmr Chairman, Live Nation), Anne Farlow (Non-Exec Chairman, Pershing Square Holdings), Alok Sarna (Fmr CFO, SoftBank Group International), John Sununu (Fmr US Senator from NH)")</f>
        <v>Randall Mays (Fmr CEO, Clear Channel Entertainment; Fmr Chairman, Live Nation), Anne Farlow (Non-Exec Chairman, Pershing Square Holdings), Alok Sarna (Fmr CFO, SoftBank Group International), John Sununu (Fmr US Senator from NH)</v>
      </c>
      <c r="G108" s="60">
        <f>IFERROR(__xludf.DUMMYFUNCTION("""COMPUTED_VALUE"""),2.5E8)</f>
        <v>250000000</v>
      </c>
      <c r="H108" s="60"/>
      <c r="I108" s="61">
        <f>IFERROR(__xludf.DUMMYFUNCTION("""COMPUTED_VALUE"""),9.81)</f>
        <v>9.81</v>
      </c>
      <c r="J108" s="62">
        <f>IFERROR(__xludf.DUMMYFUNCTION("""COMPUTED_VALUE"""),0.00102)</f>
        <v>0.00102</v>
      </c>
      <c r="K108" s="59">
        <f>IFERROR(__xludf.DUMMYFUNCTION("""COMPUTED_VALUE"""),10.04)</f>
        <v>10.04</v>
      </c>
      <c r="L108" s="63">
        <f>IFERROR(__xludf.DUMMYFUNCTION("""COMPUTED_VALUE"""),0.78)</f>
        <v>0.78</v>
      </c>
      <c r="M108" s="64" t="str">
        <f>IFERROR(__xludf.DUMMYFUNCTION("""COMPUTED_VALUE"""),"U: [1/3 W]; W: [1:1, $11.5]")</f>
        <v>U: [1/3 W]; W: [1:1, $11.5]</v>
      </c>
      <c r="N108" s="65">
        <f>IFERROR(__xludf.DUMMYFUNCTION("""COMPUTED_VALUE"""),44279.0)</f>
        <v>44279</v>
      </c>
      <c r="O108" s="66">
        <f>IFERROR(__xludf.DUMMYFUNCTION("""COMPUTED_VALUE"""),0.0)</f>
        <v>0</v>
      </c>
      <c r="P108" s="67">
        <f>IFERROR(__xludf.DUMMYFUNCTION("""COMPUTED_VALUE"""),44224.0)</f>
        <v>44224</v>
      </c>
      <c r="Q108" s="68">
        <f>IFERROR(__xludf.DUMMYFUNCTION("""COMPUTED_VALUE"""),250.0)</f>
        <v>250</v>
      </c>
      <c r="R108" s="69" t="str">
        <f>IFERROR(__xludf.DUMMYFUNCTION("""COMPUTED_VALUE"""),"Goldman Sachs")</f>
        <v>Goldman Sachs</v>
      </c>
      <c r="S108" s="64">
        <f>IFERROR(__xludf.DUMMYFUNCTION("""COMPUTED_VALUE"""),44954.0)</f>
        <v>44954</v>
      </c>
      <c r="T108" s="70">
        <f>IFERROR(__xludf.DUMMYFUNCTION("""COMPUTED_VALUE"""),0.09863013698630137)</f>
        <v>0.09863013699</v>
      </c>
      <c r="U108" s="71" t="str">
        <f>IFERROR(__xludf.DUMMYFUNCTION("""COMPUTED_VALUE"""),"https://www.sec.gov/cgi-bin/browse-edgar?CIK=1831006")</f>
        <v>https://www.sec.gov/cgi-bin/browse-edgar?CIK=1831006</v>
      </c>
      <c r="V108" s="72" t="str">
        <f>IFERROR(__xludf.DUMMYFUNCTION("""COMPUTED_VALUE""")," Trading Below $10 (Common)          Top Tier UW ")</f>
        <v> Trading Below $10 (Common)          Top Tier UW </v>
      </c>
      <c r="W108" s="73"/>
      <c r="X108" s="74"/>
      <c r="Y108" s="75"/>
      <c r="Z108" s="60"/>
      <c r="AA108" s="60"/>
      <c r="AB108" s="60"/>
      <c r="AC108" s="60"/>
      <c r="AD108" s="73"/>
      <c r="AE108" s="73"/>
      <c r="AF108" s="76"/>
      <c r="AG108" s="60" t="str">
        <f>IFERROR(__xludf.DUMMYFUNCTION("""COMPUTED_VALUE"""),"")</f>
        <v/>
      </c>
    </row>
    <row r="109">
      <c r="A109" s="54" t="str">
        <f>IFERROR(__xludf.DUMMYFUNCTION("""COMPUTED_VALUE"""),"BLUW")</f>
        <v>BLUW</v>
      </c>
      <c r="B109" s="55" t="str">
        <f>IFERROR(__xludf.DUMMYFUNCTION("""COMPUTED_VALUE"""),"Blue Water Acquisition Corp.")</f>
        <v>Blue Water Acquisition Corp.</v>
      </c>
      <c r="C109" s="56" t="str">
        <f>IFERROR(__xludf.DUMMYFUNCTION("""COMPUTED_VALUE"""),"Searching")</f>
        <v>Searching</v>
      </c>
      <c r="D109" s="57" t="str">
        <f>IFERROR(__xludf.DUMMYFUNCTION("""COMPUTED_VALUE"""),"Healthcare")</f>
        <v>Healthcare</v>
      </c>
      <c r="E109" s="58"/>
      <c r="F109" s="59"/>
      <c r="G109" s="60">
        <f>IFERROR(__xludf.DUMMYFUNCTION("""COMPUTED_VALUE"""),5.0E7)</f>
        <v>50000000</v>
      </c>
      <c r="H109" s="60">
        <f>IFERROR(__xludf.DUMMYFUNCTION("""COMPUTED_VALUE"""),5.8597675E7)</f>
        <v>58597675</v>
      </c>
      <c r="I109" s="61">
        <f>IFERROR(__xludf.DUMMYFUNCTION("""COMPUTED_VALUE"""),10.09)</f>
        <v>10.09</v>
      </c>
      <c r="J109" s="62">
        <f>IFERROR(__xludf.DUMMYFUNCTION("""COMPUTED_VALUE"""),9.9E-4)</f>
        <v>0.00099</v>
      </c>
      <c r="K109" s="59">
        <f>IFERROR(__xludf.DUMMYFUNCTION("""COMPUTED_VALUE"""),10.67)</f>
        <v>10.67</v>
      </c>
      <c r="L109" s="63">
        <f>IFERROR(__xludf.DUMMYFUNCTION("""COMPUTED_VALUE"""),0.6099)</f>
        <v>0.6099</v>
      </c>
      <c r="M109" s="64" t="str">
        <f>IFERROR(__xludf.DUMMYFUNCTION("""COMPUTED_VALUE"""),"U: [1 W]; W: [1:1, $11.5]")</f>
        <v>U: [1 W]; W: [1:1, $11.5]</v>
      </c>
      <c r="N109" s="65">
        <f>IFERROR(__xludf.DUMMYFUNCTION("""COMPUTED_VALUE"""),44236.0)</f>
        <v>44236</v>
      </c>
      <c r="O109" s="66">
        <f>IFERROR(__xludf.DUMMYFUNCTION("""COMPUTED_VALUE"""),0.0)</f>
        <v>0</v>
      </c>
      <c r="P109" s="67">
        <f>IFERROR(__xludf.DUMMYFUNCTION("""COMPUTED_VALUE"""),44180.0)</f>
        <v>44180</v>
      </c>
      <c r="Q109" s="68">
        <f>IFERROR(__xludf.DUMMYFUNCTION("""COMPUTED_VALUE"""),50.0)</f>
        <v>50</v>
      </c>
      <c r="R109" s="69" t="str">
        <f>IFERROR(__xludf.DUMMYFUNCTION("""COMPUTED_VALUE"""),"Maxim")</f>
        <v>Maxim</v>
      </c>
      <c r="S109" s="64">
        <f>IFERROR(__xludf.DUMMYFUNCTION("""COMPUTED_VALUE"""),44545.0)</f>
        <v>44545</v>
      </c>
      <c r="T109" s="70">
        <f>IFERROR(__xludf.DUMMYFUNCTION("""COMPUTED_VALUE"""),0.3178082191780822)</f>
        <v>0.3178082192</v>
      </c>
      <c r="U109" s="71" t="str">
        <f>IFERROR(__xludf.DUMMYFUNCTION("""COMPUTED_VALUE"""),"https://www.sec.gov/cgi-bin/browse-edgar?CIK=1817944")</f>
        <v>https://www.sec.gov/cgi-bin/browse-edgar?CIK=1817944</v>
      </c>
      <c r="V109" s="72" t="str">
        <f>IFERROR(__xludf.DUMMYFUNCTION("""COMPUTED_VALUE"""),"            ")</f>
        <v>            </v>
      </c>
      <c r="W109" s="73"/>
      <c r="X109" s="74"/>
      <c r="Y109" s="75"/>
      <c r="Z109" s="60"/>
      <c r="AA109" s="60"/>
      <c r="AB109" s="60"/>
      <c r="AC109" s="60"/>
      <c r="AD109" s="73"/>
      <c r="AE109" s="73"/>
      <c r="AF109" s="76"/>
      <c r="AG109" s="60" t="str">
        <f>IFERROR(__xludf.DUMMYFUNCTION("""COMPUTED_VALUE"""),"")</f>
        <v/>
      </c>
    </row>
    <row r="110">
      <c r="A110" s="54" t="str">
        <f>IFERROR(__xludf.DUMMYFUNCTION("""COMPUTED_VALUE"""),"BOAC")</f>
        <v>BOAC</v>
      </c>
      <c r="B110" s="55" t="str">
        <f>IFERROR(__xludf.DUMMYFUNCTION("""COMPUTED_VALUE"""),"Bluescape Opportunities Acquisition Corp.")</f>
        <v>Bluescape Opportunities Acquisition Corp.</v>
      </c>
      <c r="C110" s="56" t="str">
        <f>IFERROR(__xludf.DUMMYFUNCTION("""COMPUTED_VALUE"""),"Searching")</f>
        <v>Searching</v>
      </c>
      <c r="D110" s="57" t="str">
        <f>IFERROR(__xludf.DUMMYFUNCTION("""COMPUTED_VALUE"""),"Energy, Industrials")</f>
        <v>Energy, Industrials</v>
      </c>
      <c r="E110" s="58"/>
      <c r="F110" s="59" t="str">
        <f>IFERROR(__xludf.DUMMYFUNCTION("""COMPUTED_VALUE"""),"C. John Wilder (Former CEO, Shell Capital; Former CEO, TXU Corp), Duncan Palmer (CFO, Cushman &amp; Wakefield)")</f>
        <v>C. John Wilder (Former CEO, Shell Capital; Former CEO, TXU Corp), Duncan Palmer (CFO, Cushman &amp; Wakefield)</v>
      </c>
      <c r="G110" s="60">
        <f>IFERROR(__xludf.DUMMYFUNCTION("""COMPUTED_VALUE"""),6.0760252E8)</f>
        <v>607602520</v>
      </c>
      <c r="H110" s="60">
        <f>IFERROR(__xludf.DUMMYFUNCTION("""COMPUTED_VALUE"""),6.166125E8)</f>
        <v>616612500</v>
      </c>
      <c r="I110" s="61">
        <f>IFERROR(__xludf.DUMMYFUNCTION("""COMPUTED_VALUE"""),10.15)</f>
        <v>10.15</v>
      </c>
      <c r="J110" s="62">
        <f>IFERROR(__xludf.DUMMYFUNCTION("""COMPUTED_VALUE"""),0.02113)</f>
        <v>0.02113</v>
      </c>
      <c r="K110" s="59">
        <f>IFERROR(__xludf.DUMMYFUNCTION("""COMPUTED_VALUE"""),10.75)</f>
        <v>10.75</v>
      </c>
      <c r="L110" s="63">
        <f>IFERROR(__xludf.DUMMYFUNCTION("""COMPUTED_VALUE"""),1.63)</f>
        <v>1.63</v>
      </c>
      <c r="M110" s="64" t="str">
        <f>IFERROR(__xludf.DUMMYFUNCTION("""COMPUTED_VALUE"""),"U: [1/2 W]; W: [1:1, $11.5]")</f>
        <v>U: [1/2 W]; W: [1:1, $11.5]</v>
      </c>
      <c r="N110" s="65" t="str">
        <f>IFERROR(__xludf.DUMMYFUNCTION("""COMPUTED_VALUE"""),"")</f>
        <v/>
      </c>
      <c r="O110" s="66">
        <f>IFERROR(__xludf.DUMMYFUNCTION("""COMPUTED_VALUE"""),0.0)</f>
        <v>0</v>
      </c>
      <c r="P110" s="67">
        <f>IFERROR(__xludf.DUMMYFUNCTION("""COMPUTED_VALUE"""),44131.0)</f>
        <v>44131</v>
      </c>
      <c r="Q110" s="68">
        <f>IFERROR(__xludf.DUMMYFUNCTION("""COMPUTED_VALUE"""),607.5)</f>
        <v>607.5</v>
      </c>
      <c r="R110" s="69" t="str">
        <f>IFERROR(__xludf.DUMMYFUNCTION("""COMPUTED_VALUE"""),"Citigroup")</f>
        <v>Citigroup</v>
      </c>
      <c r="S110" s="64">
        <f>IFERROR(__xludf.DUMMYFUNCTION("""COMPUTED_VALUE"""),44861.0)</f>
        <v>44861</v>
      </c>
      <c r="T110" s="70">
        <f>IFERROR(__xludf.DUMMYFUNCTION("""COMPUTED_VALUE"""),0.22602739726027396)</f>
        <v>0.2260273973</v>
      </c>
      <c r="U110" s="71" t="str">
        <f>IFERROR(__xludf.DUMMYFUNCTION("""COMPUTED_VALUE"""),"https://www.sec.gov/cgi-bin/browse-edgar?CIK=1818089")</f>
        <v>https://www.sec.gov/cgi-bin/browse-edgar?CIK=1818089</v>
      </c>
      <c r="V110" s="72" t="str">
        <f>IFERROR(__xludf.DUMMYFUNCTION("""COMPUTED_VALUE"""),"   $500M+ Trust       Top Tier UW ")</f>
        <v>   $500M+ Trust       Top Tier UW </v>
      </c>
      <c r="W110" s="73"/>
      <c r="X110" s="74"/>
      <c r="Y110" s="75"/>
      <c r="Z110" s="60"/>
      <c r="AA110" s="60"/>
      <c r="AB110" s="60"/>
      <c r="AC110" s="60"/>
      <c r="AD110" s="73"/>
      <c r="AE110" s="73"/>
      <c r="AF110" s="76"/>
      <c r="AG110" s="60" t="str">
        <f>IFERROR(__xludf.DUMMYFUNCTION("""COMPUTED_VALUE"""),"")</f>
        <v/>
      </c>
    </row>
    <row r="111">
      <c r="A111" s="54" t="str">
        <f>IFERROR(__xludf.DUMMYFUNCTION("""COMPUTED_VALUE"""),"BOAS")</f>
        <v>BOAS</v>
      </c>
      <c r="B111" s="55" t="str">
        <f>IFERROR(__xludf.DUMMYFUNCTION("""COMPUTED_VALUE"""),"BOA Acquisition Corp.")</f>
        <v>BOA Acquisition Corp.</v>
      </c>
      <c r="C111" s="56" t="str">
        <f>IFERROR(__xludf.DUMMYFUNCTION("""COMPUTED_VALUE"""),"Searching")</f>
        <v>Searching</v>
      </c>
      <c r="D111" s="57" t="str">
        <f>IFERROR(__xludf.DUMMYFUNCTION("""COMPUTED_VALUE"""),"PropTech")</f>
        <v>PropTech</v>
      </c>
      <c r="E111" s="58"/>
      <c r="F111" s="59" t="str">
        <f>IFERROR(__xludf.DUMMYFUNCTION("""COMPUTED_VALUE"""),"Scott Seligman (Chairman, The Seligman Group), Shane Battier (Former NBA player; VP of Analytics and Basketball Development, Miami Heat), David Glazer (CFO, Palantir)")</f>
        <v>Scott Seligman (Chairman, The Seligman Group), Shane Battier (Former NBA player; VP of Analytics and Basketball Development, Miami Heat), David Glazer (CFO, Palantir)</v>
      </c>
      <c r="G111" s="60">
        <f>IFERROR(__xludf.DUMMYFUNCTION("""COMPUTED_VALUE"""),2.3E8)</f>
        <v>230000000</v>
      </c>
      <c r="H111" s="60"/>
      <c r="I111" s="61">
        <f>IFERROR(__xludf.DUMMYFUNCTION("""COMPUTED_VALUE"""),9.78)</f>
        <v>9.78</v>
      </c>
      <c r="J111" s="62">
        <f>IFERROR(__xludf.DUMMYFUNCTION("""COMPUTED_VALUE"""),0.00308)</f>
        <v>0.00308</v>
      </c>
      <c r="K111" s="59">
        <f>IFERROR(__xludf.DUMMYFUNCTION("""COMPUTED_VALUE"""),10.0)</f>
        <v>10</v>
      </c>
      <c r="L111" s="63">
        <f>IFERROR(__xludf.DUMMYFUNCTION("""COMPUTED_VALUE"""),0.7)</f>
        <v>0.7</v>
      </c>
      <c r="M111" s="64" t="str">
        <f>IFERROR(__xludf.DUMMYFUNCTION("""COMPUTED_VALUE"""),"U: [1/3 W]; W: [1:1, $11.5]")</f>
        <v>U: [1/3 W]; W: [1:1, $11.5]</v>
      </c>
      <c r="N111" s="65">
        <f>IFERROR(__xludf.DUMMYFUNCTION("""COMPUTED_VALUE"""),44286.0)</f>
        <v>44286</v>
      </c>
      <c r="O111" s="66">
        <f>IFERROR(__xludf.DUMMYFUNCTION("""COMPUTED_VALUE"""),0.0)</f>
        <v>0</v>
      </c>
      <c r="P111" s="67">
        <f>IFERROR(__xludf.DUMMYFUNCTION("""COMPUTED_VALUE"""),44250.0)</f>
        <v>44250</v>
      </c>
      <c r="Q111" s="68">
        <f>IFERROR(__xludf.DUMMYFUNCTION("""COMPUTED_VALUE"""),230.0)</f>
        <v>230</v>
      </c>
      <c r="R111" s="69" t="str">
        <f>IFERROR(__xludf.DUMMYFUNCTION("""COMPUTED_VALUE"""),"BTIG")</f>
        <v>BTIG</v>
      </c>
      <c r="S111" s="64">
        <f>IFERROR(__xludf.DUMMYFUNCTION("""COMPUTED_VALUE"""),44980.0)</f>
        <v>44980</v>
      </c>
      <c r="T111" s="70">
        <f>IFERROR(__xludf.DUMMYFUNCTION("""COMPUTED_VALUE"""),0.06301369863013699)</f>
        <v>0.06301369863</v>
      </c>
      <c r="U111" s="71" t="str">
        <f>IFERROR(__xludf.DUMMYFUNCTION("""COMPUTED_VALUE"""),"https://www.sec.gov/cgi-bin/browse-edgar?CIK=1838544")</f>
        <v>https://www.sec.gov/cgi-bin/browse-edgar?CIK=1838544</v>
      </c>
      <c r="V111" s="72" t="str">
        <f>IFERROR(__xludf.DUMMYFUNCTION("""COMPUTED_VALUE""")," Trading Below $10 (Common)        Well-known Sponsor   ")</f>
        <v> Trading Below $10 (Common)        Well-known Sponsor   </v>
      </c>
      <c r="W111" s="73"/>
      <c r="X111" s="74"/>
      <c r="Y111" s="75"/>
      <c r="Z111" s="60"/>
      <c r="AA111" s="60"/>
      <c r="AB111" s="60"/>
      <c r="AC111" s="60"/>
      <c r="AD111" s="73"/>
      <c r="AE111" s="73"/>
      <c r="AF111" s="76"/>
      <c r="AG111" s="60" t="str">
        <f>IFERROR(__xludf.DUMMYFUNCTION("""COMPUTED_VALUE"""),"")</f>
        <v/>
      </c>
    </row>
    <row r="112">
      <c r="A112" s="54" t="str">
        <f>IFERROR(__xludf.DUMMYFUNCTION("""COMPUTED_VALUE"""),"BOWX")</f>
        <v>BOWX</v>
      </c>
      <c r="B112" s="55" t="str">
        <f>IFERROR(__xludf.DUMMYFUNCTION("""COMPUTED_VALUE"""),"BowX Acquisition Corp.")</f>
        <v>BowX Acquisition Corp.</v>
      </c>
      <c r="C112" s="56" t="str">
        <f>IFERROR(__xludf.DUMMYFUNCTION("""COMPUTED_VALUE"""),"Definitive Agreement")</f>
        <v>Definitive Agreement</v>
      </c>
      <c r="D112" s="57" t="str">
        <f>IFERROR(__xludf.DUMMYFUNCTION("""COMPUTED_VALUE"""),"TMT (Tech, Media, Telecom)")</f>
        <v>TMT (Tech, Media, Telecom)</v>
      </c>
      <c r="E112" s="58" t="str">
        <f>IFERROR(__xludf.DUMMYFUNCTION("""COMPUTED_VALUE"""),"WeWork [DA: 03/26/21]")</f>
        <v>WeWork [DA: 03/26/21]</v>
      </c>
      <c r="F112" s="59" t="str">
        <f>IFERROR(__xludf.DUMMYFUNCTION("""COMPUTED_VALUE"""),"Vivek Ranadive (Founder of TIBCO Software, Co-owner of Sacramento Kings)")</f>
        <v>Vivek Ranadive (Founder of TIBCO Software, Co-owner of Sacramento Kings)</v>
      </c>
      <c r="G112" s="60">
        <f>IFERROR(__xludf.DUMMYFUNCTION("""COMPUTED_VALUE"""),4.83227051E8)</f>
        <v>483227051</v>
      </c>
      <c r="H112" s="60">
        <f>IFERROR(__xludf.DUMMYFUNCTION("""COMPUTED_VALUE"""),6.27417E8)</f>
        <v>627417000</v>
      </c>
      <c r="I112" s="61">
        <f>IFERROR(__xludf.DUMMYFUNCTION("""COMPUTED_VALUE"""),12.99)</f>
        <v>12.99</v>
      </c>
      <c r="J112" s="62">
        <f>IFERROR(__xludf.DUMMYFUNCTION("""COMPUTED_VALUE"""),0.01723)</f>
        <v>0.01723</v>
      </c>
      <c r="K112" s="59">
        <f>IFERROR(__xludf.DUMMYFUNCTION("""COMPUTED_VALUE"""),13.9357)</f>
        <v>13.9357</v>
      </c>
      <c r="L112" s="63">
        <f>IFERROR(__xludf.DUMMYFUNCTION("""COMPUTED_VALUE"""),3.09)</f>
        <v>3.09</v>
      </c>
      <c r="M112" s="64" t="str">
        <f>IFERROR(__xludf.DUMMYFUNCTION("""COMPUTED_VALUE"""),"U: [1/3 W]; W: [1:1, $11.5]")</f>
        <v>U: [1/3 W]; W: [1:1, $11.5]</v>
      </c>
      <c r="N112" s="65" t="str">
        <f>IFERROR(__xludf.DUMMYFUNCTION("""COMPUTED_VALUE"""),"")</f>
        <v/>
      </c>
      <c r="O112" s="66">
        <f>IFERROR(__xludf.DUMMYFUNCTION("""COMPUTED_VALUE"""),1.4900000000000002)</f>
        <v>1.49</v>
      </c>
      <c r="P112" s="67">
        <f>IFERROR(__xludf.DUMMYFUNCTION("""COMPUTED_VALUE"""),44048.0)</f>
        <v>44048</v>
      </c>
      <c r="Q112" s="68">
        <f>IFERROR(__xludf.DUMMYFUNCTION("""COMPUTED_VALUE"""),483.0)</f>
        <v>483</v>
      </c>
      <c r="R112" s="69" t="str">
        <f>IFERROR(__xludf.DUMMYFUNCTION("""COMPUTED_VALUE"""),"UBS")</f>
        <v>UBS</v>
      </c>
      <c r="S112" s="64">
        <f>IFERROR(__xludf.DUMMYFUNCTION("""COMPUTED_VALUE"""),44778.0)</f>
        <v>44778</v>
      </c>
      <c r="T112" s="70">
        <f>IFERROR(__xludf.DUMMYFUNCTION("""COMPUTED_VALUE"""),0.33972602739726027)</f>
        <v>0.3397260274</v>
      </c>
      <c r="U112" s="71" t="str">
        <f>IFERROR(__xludf.DUMMYFUNCTION("""COMPUTED_VALUE"""),"https://www.sec.gov/cgi-bin/browse-edgar?CIK=1813756")</f>
        <v>https://www.sec.gov/cgi-bin/browse-edgar?CIK=1813756</v>
      </c>
      <c r="V112" s="72" t="str">
        <f>IFERROR(__xludf.DUMMYFUNCTION("""COMPUTED_VALUE"""),"         Well-known Sponsor   ")</f>
        <v>         Well-known Sponsor   </v>
      </c>
      <c r="W112" s="73">
        <f>IFERROR(__xludf.DUMMYFUNCTION("""COMPUTED_VALUE"""),44281.0)</f>
        <v>44281</v>
      </c>
      <c r="X112" s="79">
        <f>IFERROR(__xludf.DUMMYFUNCTION("""COMPUTED_VALUE"""),7.766666666666667)</f>
        <v>7.766666667</v>
      </c>
      <c r="Y112" s="80" t="str">
        <f>IFERROR(__xludf.DUMMYFUNCTION("""COMPUTED_VALUE"""),"https://www.businesswire.com/news/home/20210326005197/en/WeWork-to-Become-Publicly-Traded-Via-SPAC-Merger-with-BowX-Acquisition-Corp")</f>
        <v>https://www.businesswire.com/news/home/20210326005197/en/WeWork-to-Become-Publicly-Traded-Via-SPAC-Merger-with-BowX-Acquisition-Corp</v>
      </c>
      <c r="Z112" s="81" t="str">
        <f>IFERROR(__xludf.DUMMYFUNCTION("""COMPUTED_VALUE"""),"https://www.sec.gov/Archives/edgar/data/1813756/000119312521095508/d29340dex992.htm")</f>
        <v>https://www.sec.gov/Archives/edgar/data/1813756/000119312521095508/d29340dex992.htm</v>
      </c>
      <c r="AA112" s="60">
        <f>IFERROR(__xludf.DUMMYFUNCTION("""COMPUTED_VALUE"""),8.0E8)</f>
        <v>800000000</v>
      </c>
      <c r="AB112" s="60">
        <f>IFERROR(__xludf.DUMMYFUNCTION("""COMPUTED_VALUE"""),7.927E9)</f>
        <v>7927000000</v>
      </c>
      <c r="AC112" s="60">
        <f>IFERROR(__xludf.DUMMYFUNCTION("""COMPUTED_VALUE"""),8.966E9)</f>
        <v>8966000000</v>
      </c>
      <c r="AD112" s="73"/>
      <c r="AE112" s="73"/>
      <c r="AF112" s="76">
        <f>IFERROR(__xludf.DUMMYFUNCTION("""COMPUTED_VALUE"""),7.927E8)</f>
        <v>792700000</v>
      </c>
      <c r="AG112" s="60">
        <f>IFERROR(__xludf.DUMMYFUNCTION("""COMPUTED_VALUE"""),1.0297173E10)</f>
        <v>10297173000</v>
      </c>
    </row>
    <row r="113">
      <c r="A113" s="54" t="str">
        <f>IFERROR(__xludf.DUMMYFUNCTION("""COMPUTED_VALUE"""),"BRD")</f>
        <v>BRD</v>
      </c>
      <c r="B113" s="55" t="str">
        <f>IFERROR(__xludf.DUMMYFUNCTION("""COMPUTED_VALUE"""),"Beard Energy Transition Acquisition Corp.")</f>
        <v>Beard Energy Transition Acquisition Corp.</v>
      </c>
      <c r="C113" s="56" t="str">
        <f>IFERROR(__xludf.DUMMYFUNCTION("""COMPUTED_VALUE"""),"Pre IPO")</f>
        <v>Pre IPO</v>
      </c>
      <c r="D113" s="57" t="str">
        <f>IFERROR(__xludf.DUMMYFUNCTION("""COMPUTED_VALUE"""),"Electric power grid opportunities with energy transition infrastructure")</f>
        <v>Electric power grid opportunities with energy transition infrastructure</v>
      </c>
      <c r="E113" s="58"/>
      <c r="F113" s="59"/>
      <c r="G113" s="60">
        <f>IFERROR(__xludf.DUMMYFUNCTION("""COMPUTED_VALUE"""),2.5E8)</f>
        <v>250000000</v>
      </c>
      <c r="H113" s="60" t="str">
        <f>IFERROR(__xludf.DUMMYFUNCTION("""COMPUTED_VALUE""")," ")</f>
        <v> </v>
      </c>
      <c r="I113" s="61" t="str">
        <f>IFERROR(__xludf.DUMMYFUNCTION("""COMPUTED_VALUE""")," ")</f>
        <v> </v>
      </c>
      <c r="J113" s="62" t="str">
        <f>IFERROR(__xludf.DUMMYFUNCTION("""COMPUTED_VALUE""")," ")</f>
        <v> </v>
      </c>
      <c r="K113" s="59" t="str">
        <f>IFERROR(__xludf.DUMMYFUNCTION("""COMPUTED_VALUE""")," ")</f>
        <v> </v>
      </c>
      <c r="L113" s="63" t="str">
        <f>IFERROR(__xludf.DUMMYFUNCTION("""COMPUTED_VALUE""")," ")</f>
        <v> </v>
      </c>
      <c r="M113" s="64" t="str">
        <f>IFERROR(__xludf.DUMMYFUNCTION("""COMPUTED_VALUE"""),"U: [1/3 W]; W: [1:1, $11.5]")</f>
        <v>U: [1/3 W]; W: [1:1, $11.5]</v>
      </c>
      <c r="N113" s="65" t="str">
        <f>IFERROR(__xludf.DUMMYFUNCTION("""COMPUTED_VALUE"""),"")</f>
        <v/>
      </c>
      <c r="O113" s="66">
        <f>IFERROR(__xludf.DUMMYFUNCTION("""COMPUTED_VALUE"""),0.0)</f>
        <v>0</v>
      </c>
      <c r="P113" s="67"/>
      <c r="Q113" s="68">
        <f>IFERROR(__xludf.DUMMYFUNCTION("""COMPUTED_VALUE"""),250.0)</f>
        <v>250</v>
      </c>
      <c r="R113" s="69" t="str">
        <f>IFERROR(__xludf.DUMMYFUNCTION("""COMPUTED_VALUE"""),"Citigroup")</f>
        <v>Citigroup</v>
      </c>
      <c r="S113" s="64">
        <f>IFERROR(__xludf.DUMMYFUNCTION("""COMPUTED_VALUE"""),45086.0)</f>
        <v>45086</v>
      </c>
      <c r="T113" s="70" t="str">
        <f>IFERROR(__xludf.DUMMYFUNCTION("""COMPUTED_VALUE"""),"")</f>
        <v/>
      </c>
      <c r="U113" s="71" t="str">
        <f>IFERROR(__xludf.DUMMYFUNCTION("""COMPUTED_VALUE"""),"https://www.sec.gov/cgi-bin/browse-edgar?CIK=1847351")</f>
        <v>https://www.sec.gov/cgi-bin/browse-edgar?CIK=1847351</v>
      </c>
      <c r="V113" s="72" t="str">
        <f>IFERROR(__xludf.DUMMYFUNCTION("""COMPUTED_VALUE"""),"Sustainability           Top Tier UW ")</f>
        <v>Sustainability           Top Tier UW </v>
      </c>
      <c r="W113" s="73"/>
      <c r="X113" s="74"/>
      <c r="Y113" s="75"/>
      <c r="Z113" s="60"/>
      <c r="AA113" s="60"/>
      <c r="AB113" s="60"/>
      <c r="AC113" s="60"/>
      <c r="AD113" s="73"/>
      <c r="AE113" s="73"/>
      <c r="AF113" s="76"/>
      <c r="AG113" s="60"/>
    </row>
    <row r="114">
      <c r="A114" s="54" t="str">
        <f>IFERROR(__xludf.DUMMYFUNCTION("""COMPUTED_VALUE"""),"BREZ")</f>
        <v>BREZ</v>
      </c>
      <c r="B114" s="55" t="str">
        <f>IFERROR(__xludf.DUMMYFUNCTION("""COMPUTED_VALUE"""),"Breeze Holdings Acquisition Corp.")</f>
        <v>Breeze Holdings Acquisition Corp.</v>
      </c>
      <c r="C114" s="56" t="str">
        <f>IFERROR(__xludf.DUMMYFUNCTION("""COMPUTED_VALUE"""),"Searching")</f>
        <v>Searching</v>
      </c>
      <c r="D114" s="57" t="str">
        <f>IFERROR(__xludf.DUMMYFUNCTION("""COMPUTED_VALUE"""),"Energy")</f>
        <v>Energy</v>
      </c>
      <c r="E114" s="58"/>
      <c r="F114" s="59" t="str">
        <f>IFERROR(__xludf.DUMMYFUNCTION("""COMPUTED_VALUE"""),"Dan Hunt (President, FC Dallas)")</f>
        <v>Dan Hunt (President, FC Dallas)</v>
      </c>
      <c r="G114" s="60">
        <f>IFERROR(__xludf.DUMMYFUNCTION("""COMPUTED_VALUE"""),1.1673448E8)</f>
        <v>116734480</v>
      </c>
      <c r="H114" s="60">
        <f>IFERROR(__xludf.DUMMYFUNCTION("""COMPUTED_VALUE"""),1.4698125E8)</f>
        <v>146981250</v>
      </c>
      <c r="I114" s="61">
        <f>IFERROR(__xludf.DUMMYFUNCTION("""COMPUTED_VALUE"""),10.05)</f>
        <v>10.05</v>
      </c>
      <c r="J114" s="62">
        <f>IFERROR(__xludf.DUMMYFUNCTION("""COMPUTED_VALUE"""),0.00299)</f>
        <v>0.00299</v>
      </c>
      <c r="K114" s="59" t="str">
        <f>IFERROR(__xludf.DUMMYFUNCTION("""COMPUTED_VALUE""")," ")</f>
        <v> </v>
      </c>
      <c r="L114" s="63">
        <f>IFERROR(__xludf.DUMMYFUNCTION("""COMPUTED_VALUE"""),0.725)</f>
        <v>0.725</v>
      </c>
      <c r="M114" s="64" t="str">
        <f>IFERROR(__xludf.DUMMYFUNCTION("""COMPUTED_VALUE"""),"U: [1 W, 1 R (1/20 sh)]; W: [1:1, $11.5]")</f>
        <v>U: [1 W, 1 R (1/20 sh)]; W: [1:1, $11.5]</v>
      </c>
      <c r="N114" s="65" t="str">
        <f>IFERROR(__xludf.DUMMYFUNCTION("""COMPUTED_VALUE"""),"")</f>
        <v/>
      </c>
      <c r="O114" s="66">
        <f>IFERROR(__xludf.DUMMYFUNCTION("""COMPUTED_VALUE"""),0.0)</f>
        <v>0</v>
      </c>
      <c r="P114" s="67">
        <f>IFERROR(__xludf.DUMMYFUNCTION("""COMPUTED_VALUE"""),44158.0)</f>
        <v>44158</v>
      </c>
      <c r="Q114" s="68">
        <f>IFERROR(__xludf.DUMMYFUNCTION("""COMPUTED_VALUE"""),116.725)</f>
        <v>116.725</v>
      </c>
      <c r="R114" s="69" t="str">
        <f>IFERROR(__xludf.DUMMYFUNCTION("""COMPUTED_VALUE"""),"I-Bankers")</f>
        <v>I-Bankers</v>
      </c>
      <c r="S114" s="64">
        <f>IFERROR(__xludf.DUMMYFUNCTION("""COMPUTED_VALUE"""),44705.5)</f>
        <v>44705.5</v>
      </c>
      <c r="T114" s="70">
        <f>IFERROR(__xludf.DUMMYFUNCTION("""COMPUTED_VALUE"""),0.25205479452054796)</f>
        <v>0.2520547945</v>
      </c>
      <c r="U114" s="71" t="str">
        <f>IFERROR(__xludf.DUMMYFUNCTION("""COMPUTED_VALUE"""),"https://www.sec.gov/cgi-bin/browse-edgar?CIK=1817640")</f>
        <v>https://www.sec.gov/cgi-bin/browse-edgar?CIK=1817640</v>
      </c>
      <c r="V114" s="72" t="str">
        <f>IFERROR(__xludf.DUMMYFUNCTION("""COMPUTED_VALUE"""),"     Optionable  Has Rights     ")</f>
        <v>     Optionable  Has Rights     </v>
      </c>
      <c r="W114" s="73"/>
      <c r="X114" s="74"/>
      <c r="Y114" s="75"/>
      <c r="Z114" s="60"/>
      <c r="AA114" s="60"/>
      <c r="AB114" s="60"/>
      <c r="AC114" s="60"/>
      <c r="AD114" s="73"/>
      <c r="AE114" s="73"/>
      <c r="AF114" s="76"/>
      <c r="AG114" s="60" t="str">
        <f>IFERROR(__xludf.DUMMYFUNCTION("""COMPUTED_VALUE"""),"")</f>
        <v/>
      </c>
    </row>
    <row r="115">
      <c r="A115" s="54" t="str">
        <f>IFERROR(__xludf.DUMMYFUNCTION("""COMPUTED_VALUE"""),"BRIG")</f>
        <v>BRIG</v>
      </c>
      <c r="B115" s="55" t="str">
        <f>IFERROR(__xludf.DUMMYFUNCTION("""COMPUTED_VALUE"""),"Brigantine Acquisition Corp.")</f>
        <v>Brigantine Acquisition Corp.</v>
      </c>
      <c r="C115" s="56" t="str">
        <f>IFERROR(__xludf.DUMMYFUNCTION("""COMPUTED_VALUE"""),"Pre IPO")</f>
        <v>Pre IPO</v>
      </c>
      <c r="D115" s="77" t="str">
        <f>IFERROR(__xludf.DUMMYFUNCTION("""COMPUTED_VALUE"""),"Tech")</f>
        <v>Tech</v>
      </c>
      <c r="E115" s="58"/>
      <c r="F115" s="59" t="str">
        <f>IFERROR(__xludf.DUMMYFUNCTION("""COMPUTED_VALUE"""),"James Greene, Jr. (Founding Partner of True Wind Capital), Scott Wagner (Former CEO of GoDaddy)")</f>
        <v>James Greene, Jr. (Founding Partner of True Wind Capital), Scott Wagner (Former CEO of GoDaddy)</v>
      </c>
      <c r="G115" s="60">
        <f>IFERROR(__xludf.DUMMYFUNCTION("""COMPUTED_VALUE"""),6.0E8)</f>
        <v>600000000</v>
      </c>
      <c r="H115" s="60" t="str">
        <f>IFERROR(__xludf.DUMMYFUNCTION("""COMPUTED_VALUE""")," ")</f>
        <v> </v>
      </c>
      <c r="I115" s="61" t="str">
        <f>IFERROR(__xludf.DUMMYFUNCTION("""COMPUTED_VALUE""")," ")</f>
        <v> </v>
      </c>
      <c r="J115" s="62" t="str">
        <f>IFERROR(__xludf.DUMMYFUNCTION("""COMPUTED_VALUE""")," ")</f>
        <v> </v>
      </c>
      <c r="K115" s="59" t="str">
        <f>IFERROR(__xludf.DUMMYFUNCTION("""COMPUTED_VALUE""")," ")</f>
        <v> </v>
      </c>
      <c r="L115" s="63" t="str">
        <f>IFERROR(__xludf.DUMMYFUNCTION("""COMPUTED_VALUE""")," ")</f>
        <v> </v>
      </c>
      <c r="M115" s="64" t="str">
        <f>IFERROR(__xludf.DUMMYFUNCTION("""COMPUTED_VALUE"""),"U: [1/5 W]; W: [1:1, $11.5]")</f>
        <v>U: [1/5 W]; W: [1:1, $11.5]</v>
      </c>
      <c r="N115" s="65" t="str">
        <f>IFERROR(__xludf.DUMMYFUNCTION("""COMPUTED_VALUE"""),"")</f>
        <v/>
      </c>
      <c r="O115" s="66">
        <f>IFERROR(__xludf.DUMMYFUNCTION("""COMPUTED_VALUE"""),0.0)</f>
        <v>0</v>
      </c>
      <c r="P115" s="67"/>
      <c r="Q115" s="68">
        <f>IFERROR(__xludf.DUMMYFUNCTION("""COMPUTED_VALUE"""),600.0)</f>
        <v>600</v>
      </c>
      <c r="R115" s="69" t="str">
        <f>IFERROR(__xludf.DUMMYFUNCTION("""COMPUTED_VALUE"""),"Morgan Stanley, Deutsche Bank Securities, Evercore ISI")</f>
        <v>Morgan Stanley, Deutsche Bank Securities, Evercore ISI</v>
      </c>
      <c r="S115" s="64">
        <f>IFERROR(__xludf.DUMMYFUNCTION("""COMPUTED_VALUE"""),45086.0)</f>
        <v>45086</v>
      </c>
      <c r="T115" s="70" t="str">
        <f>IFERROR(__xludf.DUMMYFUNCTION("""COMPUTED_VALUE"""),"")</f>
        <v/>
      </c>
      <c r="U115" s="71" t="str">
        <f>IFERROR(__xludf.DUMMYFUNCTION("""COMPUTED_VALUE"""),"https://www.sec.gov/cgi-bin/browse-edgar?CIK=1849349")</f>
        <v>https://www.sec.gov/cgi-bin/browse-edgar?CIK=1849349</v>
      </c>
      <c r="V115" s="72" t="str">
        <f>IFERROR(__xludf.DUMMYFUNCTION("""COMPUTED_VALUE"""),"   $500M+ Trust      Serial Sponsor Top Tier UW ")</f>
        <v>   $500M+ Trust      Serial Sponsor Top Tier UW </v>
      </c>
      <c r="W115" s="73"/>
      <c r="X115" s="74"/>
      <c r="Y115" s="75"/>
      <c r="Z115" s="60"/>
      <c r="AA115" s="60"/>
      <c r="AB115" s="60"/>
      <c r="AC115" s="60"/>
      <c r="AD115" s="73"/>
      <c r="AE115" s="73"/>
      <c r="AF115" s="76"/>
      <c r="AG115" s="60"/>
    </row>
    <row r="116">
      <c r="A116" s="54" t="str">
        <f>IFERROR(__xludf.DUMMYFUNCTION("""COMPUTED_VALUE"""),"BRIM")</f>
        <v>BRIM</v>
      </c>
      <c r="B116" s="55" t="str">
        <f>IFERROR(__xludf.DUMMYFUNCTION("""COMPUTED_VALUE"""),"Brimstone Acquisition Holdings Corp.")</f>
        <v>Brimstone Acquisition Holdings Corp.</v>
      </c>
      <c r="C116" s="56" t="str">
        <f>IFERROR(__xludf.DUMMYFUNCTION("""COMPUTED_VALUE"""),"Pre IPO")</f>
        <v>Pre IPO</v>
      </c>
      <c r="D116" s="57"/>
      <c r="E116" s="58"/>
      <c r="F116" s="59" t="str">
        <f>IFERROR(__xludf.DUMMYFUNCTION("""COMPUTED_VALUE"""),"Sir Martin Franklin (Founder, Former Chairman &amp; CEO of Jarden, Former Director of Newell Brands, Burger King Worldwide, and Restaurant Brands International), Michael Goss (Former CFO of Conde Nast and Sotheby’s), Domenico De Sole (Co-Founder of Tom Ford a"&amp;"nd Former CEO of Gucci Group)")</f>
        <v>Sir Martin Franklin (Founder, Former Chairman &amp; CEO of Jarden, Former Director of Newell Brands, Burger King Worldwide, and Restaurant Brands International), Michael Goss (Former CFO of Conde Nast and Sotheby’s), Domenico De Sole (Co-Founder of Tom Ford and Former CEO of Gucci Group)</v>
      </c>
      <c r="G116" s="60">
        <f>IFERROR(__xludf.DUMMYFUNCTION("""COMPUTED_VALUE"""),2.5E8)</f>
        <v>250000000</v>
      </c>
      <c r="H116" s="60" t="str">
        <f>IFERROR(__xludf.DUMMYFUNCTION("""COMPUTED_VALUE""")," ")</f>
        <v> </v>
      </c>
      <c r="I116" s="61" t="str">
        <f>IFERROR(__xludf.DUMMYFUNCTION("""COMPUTED_VALUE""")," ")</f>
        <v> </v>
      </c>
      <c r="J116" s="62" t="str">
        <f>IFERROR(__xludf.DUMMYFUNCTION("""COMPUTED_VALUE""")," ")</f>
        <v> </v>
      </c>
      <c r="K116" s="59" t="str">
        <f>IFERROR(__xludf.DUMMYFUNCTION("""COMPUTED_VALUE""")," ")</f>
        <v> </v>
      </c>
      <c r="L116" s="63" t="str">
        <f>IFERROR(__xludf.DUMMYFUNCTION("""COMPUTED_VALUE""")," ")</f>
        <v> </v>
      </c>
      <c r="M116" s="64" t="str">
        <f>IFERROR(__xludf.DUMMYFUNCTION("""COMPUTED_VALUE"""),"U: [1/4 W]; W: [1:1, $11.5]")</f>
        <v>U: [1/4 W]; W: [1:1, $11.5]</v>
      </c>
      <c r="N116" s="65" t="str">
        <f>IFERROR(__xludf.DUMMYFUNCTION("""COMPUTED_VALUE"""),"")</f>
        <v/>
      </c>
      <c r="O116" s="66">
        <f>IFERROR(__xludf.DUMMYFUNCTION("""COMPUTED_VALUE"""),0.0)</f>
        <v>0</v>
      </c>
      <c r="P116" s="67"/>
      <c r="Q116" s="68">
        <f>IFERROR(__xludf.DUMMYFUNCTION("""COMPUTED_VALUE"""),250.0)</f>
        <v>250</v>
      </c>
      <c r="R116" s="69" t="str">
        <f>IFERROR(__xludf.DUMMYFUNCTION("""COMPUTED_VALUE"""),"Credit Suisse, Citigroup, UBS Investment Bank")</f>
        <v>Credit Suisse, Citigroup, UBS Investment Bank</v>
      </c>
      <c r="S116" s="64">
        <f>IFERROR(__xludf.DUMMYFUNCTION("""COMPUTED_VALUE"""),45086.0)</f>
        <v>45086</v>
      </c>
      <c r="T116" s="70" t="str">
        <f>IFERROR(__xludf.DUMMYFUNCTION("""COMPUTED_VALUE"""),"")</f>
        <v/>
      </c>
      <c r="U116" s="71" t="str">
        <f>IFERROR(__xludf.DUMMYFUNCTION("""COMPUTED_VALUE"""),"https://www.sec.gov/cgi-bin/browse-edgar?CIK=1847520")</f>
        <v>https://www.sec.gov/cgi-bin/browse-edgar?CIK=1847520</v>
      </c>
      <c r="V116" s="72" t="str">
        <f>IFERROR(__xludf.DUMMYFUNCTION("""COMPUTED_VALUE"""),"         Well-known Sponsor Serial Sponsor Top Tier UW ")</f>
        <v>         Well-known Sponsor Serial Sponsor Top Tier UW </v>
      </c>
      <c r="W116" s="73"/>
      <c r="X116" s="74"/>
      <c r="Y116" s="75"/>
      <c r="Z116" s="60"/>
      <c r="AA116" s="60"/>
      <c r="AB116" s="60"/>
      <c r="AC116" s="60"/>
      <c r="AD116" s="73"/>
      <c r="AE116" s="73"/>
      <c r="AF116" s="76"/>
      <c r="AG116" s="60"/>
    </row>
    <row r="117">
      <c r="A117" s="54" t="str">
        <f>IFERROR(__xludf.DUMMYFUNCTION("""COMPUTED_VALUE"""),"BRIV")</f>
        <v>BRIV</v>
      </c>
      <c r="B117" s="55" t="str">
        <f>IFERROR(__xludf.DUMMYFUNCTION("""COMPUTED_VALUE"""),"B. Riley Principal 250 Merger Corp.")</f>
        <v>B. Riley Principal 250 Merger Corp.</v>
      </c>
      <c r="C117" s="56" t="str">
        <f>IFERROR(__xludf.DUMMYFUNCTION("""COMPUTED_VALUE"""),"Pre IPO")</f>
        <v>Pre IPO</v>
      </c>
      <c r="D117" s="57"/>
      <c r="E117" s="58"/>
      <c r="F117" s="59" t="str">
        <f>IFERROR(__xludf.DUMMYFUNCTION("""COMPUTED_VALUE"""),"Bryant Riley (Chairman and Co-CEO of B. Riley Financial), Daniel Shribman (CIO of B. Riley Financial and Director of Eos Energy)")</f>
        <v>Bryant Riley (Chairman and Co-CEO of B. Riley Financial), Daniel Shribman (CIO of B. Riley Financial and Director of Eos Energy)</v>
      </c>
      <c r="G117" s="60">
        <f>IFERROR(__xludf.DUMMYFUNCTION("""COMPUTED_VALUE"""),2.5E8)</f>
        <v>250000000</v>
      </c>
      <c r="H117" s="60" t="str">
        <f>IFERROR(__xludf.DUMMYFUNCTION("""COMPUTED_VALUE""")," ")</f>
        <v> </v>
      </c>
      <c r="I117" s="61" t="str">
        <f>IFERROR(__xludf.DUMMYFUNCTION("""COMPUTED_VALUE""")," ")</f>
        <v> </v>
      </c>
      <c r="J117" s="62" t="str">
        <f>IFERROR(__xludf.DUMMYFUNCTION("""COMPUTED_VALUE""")," ")</f>
        <v> </v>
      </c>
      <c r="K117" s="59" t="str">
        <f>IFERROR(__xludf.DUMMYFUNCTION("""COMPUTED_VALUE""")," ")</f>
        <v> </v>
      </c>
      <c r="L117" s="63" t="str">
        <f>IFERROR(__xludf.DUMMYFUNCTION("""COMPUTED_VALUE""")," ")</f>
        <v> </v>
      </c>
      <c r="M117" s="64" t="str">
        <f>IFERROR(__xludf.DUMMYFUNCTION("""COMPUTED_VALUE"""),"U: [1/3 W]; W: [1:1, $11.5]")</f>
        <v>U: [1/3 W]; W: [1:1, $11.5]</v>
      </c>
      <c r="N117" s="65" t="str">
        <f>IFERROR(__xludf.DUMMYFUNCTION("""COMPUTED_VALUE"""),"")</f>
        <v/>
      </c>
      <c r="O117" s="66">
        <f>IFERROR(__xludf.DUMMYFUNCTION("""COMPUTED_VALUE"""),0.0)</f>
        <v>0</v>
      </c>
      <c r="P117" s="67"/>
      <c r="Q117" s="68">
        <f>IFERROR(__xludf.DUMMYFUNCTION("""COMPUTED_VALUE"""),250.0)</f>
        <v>250</v>
      </c>
      <c r="R117" s="85" t="str">
        <f>IFERROR(__xludf.DUMMYFUNCTION("""COMPUTED_VALUE"""),"B. Riley Securities, Inc.")</f>
        <v>B. Riley Securities, Inc.</v>
      </c>
      <c r="S117" s="64">
        <f>IFERROR(__xludf.DUMMYFUNCTION("""COMPUTED_VALUE"""),45086.0)</f>
        <v>45086</v>
      </c>
      <c r="T117" s="70" t="str">
        <f>IFERROR(__xludf.DUMMYFUNCTION("""COMPUTED_VALUE"""),"")</f>
        <v/>
      </c>
      <c r="U117" s="71" t="str">
        <f>IFERROR(__xludf.DUMMYFUNCTION("""COMPUTED_VALUE"""),"https://www.sec.gov/cgi-bin/browse-edgar?CIK=1844211")</f>
        <v>https://www.sec.gov/cgi-bin/browse-edgar?CIK=1844211</v>
      </c>
      <c r="V117" s="72" t="str">
        <f>IFERROR(__xludf.DUMMYFUNCTION("""COMPUTED_VALUE"""),"         Well-known Sponsor Serial Sponsor  ")</f>
        <v>         Well-known Sponsor Serial Sponsor  </v>
      </c>
      <c r="W117" s="73"/>
      <c r="X117" s="74"/>
      <c r="Y117" s="75"/>
      <c r="Z117" s="60"/>
      <c r="AA117" s="60"/>
      <c r="AB117" s="60"/>
      <c r="AC117" s="60"/>
      <c r="AD117" s="73"/>
      <c r="AE117" s="73"/>
      <c r="AF117" s="76"/>
      <c r="AG117" s="60"/>
    </row>
    <row r="118">
      <c r="A118" s="54" t="str">
        <f>IFERROR(__xludf.DUMMYFUNCTION("""COMPUTED_VALUE"""),"BRLI")</f>
        <v>BRLI</v>
      </c>
      <c r="B118" s="55" t="str">
        <f>IFERROR(__xludf.DUMMYFUNCTION("""COMPUTED_VALUE"""),"Brilliant Acquisition")</f>
        <v>Brilliant Acquisition</v>
      </c>
      <c r="C118" s="56" t="str">
        <f>IFERROR(__xludf.DUMMYFUNCTION("""COMPUTED_VALUE"""),"Searching")</f>
        <v>Searching</v>
      </c>
      <c r="D118" s="57" t="str">
        <f>IFERROR(__xludf.DUMMYFUNCTION("""COMPUTED_VALUE"""),"Asia-Pacific")</f>
        <v>Asia-Pacific</v>
      </c>
      <c r="E118" s="58"/>
      <c r="F118" s="59"/>
      <c r="G118" s="60">
        <f>IFERROR(__xludf.DUMMYFUNCTION("""COMPUTED_VALUE"""),4.6001894E7)</f>
        <v>46001894</v>
      </c>
      <c r="H118" s="60">
        <f>IFERROR(__xludf.DUMMYFUNCTION("""COMPUTED_VALUE"""),6.147666E7)</f>
        <v>61476660</v>
      </c>
      <c r="I118" s="61">
        <f>IFERROR(__xludf.DUMMYFUNCTION("""COMPUTED_VALUE"""),10.06)</f>
        <v>10.06</v>
      </c>
      <c r="J118" s="62">
        <f>IFERROR(__xludf.DUMMYFUNCTION("""COMPUTED_VALUE"""),0.01004)</f>
        <v>0.01004</v>
      </c>
      <c r="K118" s="59">
        <f>IFERROR(__xludf.DUMMYFUNCTION("""COMPUTED_VALUE"""),10.5)</f>
        <v>10.5</v>
      </c>
      <c r="L118" s="63">
        <f>IFERROR(__xludf.DUMMYFUNCTION("""COMPUTED_VALUE"""),0.551)</f>
        <v>0.551</v>
      </c>
      <c r="M118" s="64" t="str">
        <f>IFERROR(__xludf.DUMMYFUNCTION("""COMPUTED_VALUE"""),"U: [1 W, 1 R (1/10 sh)]; W: [1:1, $11.5]")</f>
        <v>U: [1 W, 1 R (1/10 sh)]; W: [1:1, $11.5]</v>
      </c>
      <c r="N118" s="65" t="str">
        <f>IFERROR(__xludf.DUMMYFUNCTION("""COMPUTED_VALUE"""),"")</f>
        <v/>
      </c>
      <c r="O118" s="66">
        <f>IFERROR(__xludf.DUMMYFUNCTION("""COMPUTED_VALUE"""),0.0)</f>
        <v>0</v>
      </c>
      <c r="P118" s="67">
        <f>IFERROR(__xludf.DUMMYFUNCTION("""COMPUTED_VALUE"""),44006.0)</f>
        <v>44006</v>
      </c>
      <c r="Q118" s="68">
        <f>IFERROR(__xludf.DUMMYFUNCTION("""COMPUTED_VALUE"""),46.0)</f>
        <v>46</v>
      </c>
      <c r="R118" s="85" t="str">
        <f>IFERROR(__xludf.DUMMYFUNCTION("""COMPUTED_VALUE"""),"EarlyBirdCapital")</f>
        <v>EarlyBirdCapital</v>
      </c>
      <c r="S118" s="64">
        <f>IFERROR(__xludf.DUMMYFUNCTION("""COMPUTED_VALUE"""),44644.75)</f>
        <v>44644.75</v>
      </c>
      <c r="T118" s="70">
        <f>IFERROR(__xludf.DUMMYFUNCTION("""COMPUTED_VALUE"""),0.45401174168297453)</f>
        <v>0.4540117417</v>
      </c>
      <c r="U118" s="71" t="str">
        <f>IFERROR(__xludf.DUMMYFUNCTION("""COMPUTED_VALUE"""),"https://www.sec.gov/cgi-bin/browse-edgar?CIK=1787518")</f>
        <v>https://www.sec.gov/cgi-bin/browse-edgar?CIK=1787518</v>
      </c>
      <c r="V118" s="72" t="str">
        <f>IFERROR(__xludf.DUMMYFUNCTION("""COMPUTED_VALUE"""),"       Has Rights     ")</f>
        <v>       Has Rights     </v>
      </c>
      <c r="W118" s="73"/>
      <c r="X118" s="74"/>
      <c r="Y118" s="75"/>
      <c r="Z118" s="60"/>
      <c r="AA118" s="60"/>
      <c r="AB118" s="60"/>
      <c r="AC118" s="60"/>
      <c r="AD118" s="73"/>
      <c r="AE118" s="73"/>
      <c r="AF118" s="76"/>
      <c r="AG118" s="60" t="str">
        <f>IFERROR(__xludf.DUMMYFUNCTION("""COMPUTED_VALUE"""),"")</f>
        <v/>
      </c>
    </row>
    <row r="119">
      <c r="A119" s="54" t="str">
        <f>IFERROR(__xludf.DUMMYFUNCTION("""COMPUTED_VALUE"""),"BRPA")</f>
        <v>BRPA</v>
      </c>
      <c r="B119" s="55" t="str">
        <f>IFERROR(__xludf.DUMMYFUNCTION("""COMPUTED_VALUE"""),"Big Rock Partners Acquisition Corp")</f>
        <v>Big Rock Partners Acquisition Corp</v>
      </c>
      <c r="C119" s="56" t="str">
        <f>IFERROR(__xludf.DUMMYFUNCTION("""COMPUTED_VALUE"""),"Definitive Agreement")</f>
        <v>Definitive Agreement</v>
      </c>
      <c r="D119" s="57" t="str">
        <f>IFERROR(__xludf.DUMMYFUNCTION("""COMPUTED_VALUE"""),"Senior Housing")</f>
        <v>Senior Housing</v>
      </c>
      <c r="E119" s="58" t="str">
        <f>IFERROR(__xludf.DUMMYFUNCTION("""COMPUTED_VALUE"""),"NeuroRX [DA: 12/14/20]")</f>
        <v>NeuroRX [DA: 12/14/20]</v>
      </c>
      <c r="F119" s="59"/>
      <c r="G119" s="60">
        <f>IFERROR(__xludf.DUMMYFUNCTION("""COMPUTED_VALUE"""),5934671.0)</f>
        <v>5934671</v>
      </c>
      <c r="H119" s="60">
        <f>IFERROR(__xludf.DUMMYFUNCTION("""COMPUTED_VALUE"""),9.9948838E7)</f>
        <v>99948838</v>
      </c>
      <c r="I119" s="61">
        <f>IFERROR(__xludf.DUMMYFUNCTION("""COMPUTED_VALUE"""),37.18)</f>
        <v>37.18</v>
      </c>
      <c r="J119" s="62">
        <f>IFERROR(__xludf.DUMMYFUNCTION("""COMPUTED_VALUE"""),-0.00588)</f>
        <v>-0.00588</v>
      </c>
      <c r="K119" s="59">
        <f>IFERROR(__xludf.DUMMYFUNCTION("""COMPUTED_VALUE"""),45.64)</f>
        <v>45.64</v>
      </c>
      <c r="L119" s="63">
        <f>IFERROR(__xludf.DUMMYFUNCTION("""COMPUTED_VALUE"""),9.27)</f>
        <v>9.27</v>
      </c>
      <c r="M119" s="64" t="str">
        <f>IFERROR(__xludf.DUMMYFUNCTION("""COMPUTED_VALUE"""),"U: [1/2 W]; W: [1:1, $11.5]")</f>
        <v>U: [1/2 W]; W: [1:1, $11.5]</v>
      </c>
      <c r="N119" s="65" t="str">
        <f>IFERROR(__xludf.DUMMYFUNCTION("""COMPUTED_VALUE"""),"")</f>
        <v/>
      </c>
      <c r="O119" s="66">
        <f>IFERROR(__xludf.DUMMYFUNCTION("""COMPUTED_VALUE"""),25.68)</f>
        <v>25.68</v>
      </c>
      <c r="P119" s="67">
        <f>IFERROR(__xludf.DUMMYFUNCTION("""COMPUTED_VALUE"""),43059.0)</f>
        <v>43059</v>
      </c>
      <c r="Q119" s="68">
        <f>IFERROR(__xludf.DUMMYFUNCTION("""COMPUTED_VALUE"""),60.0)</f>
        <v>60</v>
      </c>
      <c r="R119" s="69" t="str">
        <f>IFERROR(__xludf.DUMMYFUNCTION("""COMPUTED_VALUE"""),"EarlyBirdCapital")</f>
        <v>EarlyBirdCapital</v>
      </c>
      <c r="S119" s="64">
        <f>IFERROR(__xludf.DUMMYFUNCTION("""COMPUTED_VALUE"""),44309.0)</f>
        <v>44309</v>
      </c>
      <c r="T119" s="70">
        <f>IFERROR(__xludf.DUMMYFUNCTION("""COMPUTED_VALUE"""),0.9896)</f>
        <v>0.9896</v>
      </c>
      <c r="U119" s="71" t="str">
        <f>IFERROR(__xludf.DUMMYFUNCTION("""COMPUTED_VALUE"""),"https://www.sec.gov/cgi-bin/browse-edgar?CIK=1719406")</f>
        <v>https://www.sec.gov/cgi-bin/browse-edgar?CIK=1719406</v>
      </c>
      <c r="V119" s="72" t="str">
        <f>IFERROR(__xludf.DUMMYFUNCTION("""COMPUTED_VALUE"""),"      Deadline Approaching      ")</f>
        <v>      Deadline Approaching      </v>
      </c>
      <c r="W119" s="73">
        <f>IFERROR(__xludf.DUMMYFUNCTION("""COMPUTED_VALUE"""),44179.0)</f>
        <v>44179</v>
      </c>
      <c r="X119" s="79">
        <f>IFERROR(__xludf.DUMMYFUNCTION("""COMPUTED_VALUE"""),37.333333333333336)</f>
        <v>37.33333333</v>
      </c>
      <c r="Y119" s="80" t="str">
        <f>IFERROR(__xludf.DUMMYFUNCTION("""COMPUTED_VALUE"""),"https://www.accesswire.com/620772/Big-Rock-Partners-Acquisition-Corp-Announces-Merger-with-NeuroRx-Inc")</f>
        <v>https://www.accesswire.com/620772/Big-Rock-Partners-Acquisition-Corp-Announces-Merger-with-NeuroRx-Inc</v>
      </c>
      <c r="Z119" s="81" t="str">
        <f>IFERROR(__xludf.DUMMYFUNCTION("""COMPUTED_VALUE"""),"https://www.sec.gov/Archives/edgar/data/1719406/000165495420013699/brpa_ex992.htm")</f>
        <v>https://www.sec.gov/Archives/edgar/data/1719406/000165495420013699/brpa_ex992.htm</v>
      </c>
      <c r="AA119" s="60">
        <f>IFERROR(__xludf.DUMMYFUNCTION("""COMPUTED_VALUE"""),1.0E7)</f>
        <v>10000000</v>
      </c>
      <c r="AB119" s="60">
        <f>IFERROR(__xludf.DUMMYFUNCTION("""COMPUTED_VALUE"""),5.3605492E8)</f>
        <v>536054920</v>
      </c>
      <c r="AC119" s="60">
        <f>IFERROR(__xludf.DUMMYFUNCTION("""COMPUTED_VALUE"""),5.25068724E8)</f>
        <v>525068724</v>
      </c>
      <c r="AD119" s="73"/>
      <c r="AE119" s="73"/>
      <c r="AF119" s="76">
        <f>IFERROR(__xludf.DUMMYFUNCTION("""COMPUTED_VALUE"""),5.3605492E7)</f>
        <v>53605492</v>
      </c>
      <c r="AG119" s="60">
        <f>IFERROR(__xludf.DUMMYFUNCTION("""COMPUTED_VALUE"""),1.99305219256E9)</f>
        <v>1993052193</v>
      </c>
    </row>
    <row r="120">
      <c r="A120" s="54" t="str">
        <f>IFERROR(__xludf.DUMMYFUNCTION("""COMPUTED_VALUE"""),"BRPM")</f>
        <v>BRPM</v>
      </c>
      <c r="B120" s="55" t="str">
        <f>IFERROR(__xludf.DUMMYFUNCTION("""COMPUTED_VALUE"""),"B. Riley Principal 150 Merger Corp.")</f>
        <v>B. Riley Principal 150 Merger Corp.</v>
      </c>
      <c r="C120" s="56" t="str">
        <f>IFERROR(__xludf.DUMMYFUNCTION("""COMPUTED_VALUE"""),"Searching")</f>
        <v>Searching</v>
      </c>
      <c r="D120" s="57"/>
      <c r="E120" s="58"/>
      <c r="F120" s="59" t="str">
        <f>IFERROR(__xludf.DUMMYFUNCTION("""COMPUTED_VALUE"""),"Bryant Riley (Chairman/Co-CEO, B. Riley Financial), Daniel Shribman (CIO, B. Riley Financial; Director, Eos Energy)")</f>
        <v>Bryant Riley (Chairman/Co-CEO, B. Riley Financial), Daniel Shribman (CIO, B. Riley Financial; Director, Eos Energy)</v>
      </c>
      <c r="G120" s="60">
        <f>IFERROR(__xludf.DUMMYFUNCTION("""COMPUTED_VALUE"""),1.725E8)</f>
        <v>172500000</v>
      </c>
      <c r="H120" s="60">
        <f>IFERROR(__xludf.DUMMYFUNCTION("""COMPUTED_VALUE"""),1.768125E8)</f>
        <v>176812500</v>
      </c>
      <c r="I120" s="61">
        <f>IFERROR(__xludf.DUMMYFUNCTION("""COMPUTED_VALUE"""),10.25)</f>
        <v>10.25</v>
      </c>
      <c r="J120" s="62" t="str">
        <f>IFERROR(__xludf.DUMMYFUNCTION("""COMPUTED_VALUE""")," ")</f>
        <v> </v>
      </c>
      <c r="K120" s="59">
        <f>IFERROR(__xludf.DUMMYFUNCTION("""COMPUTED_VALUE"""),10.05)</f>
        <v>10.05</v>
      </c>
      <c r="L120" s="63" t="str">
        <f>IFERROR(__xludf.DUMMYFUNCTION("""COMPUTED_VALUE""")," ")</f>
        <v> </v>
      </c>
      <c r="M120" s="64" t="str">
        <f>IFERROR(__xludf.DUMMYFUNCTION("""COMPUTED_VALUE"""),"U: [1/3 W]; W: [1:1, $11.5]")</f>
        <v>U: [1/3 W]; W: [1:1, $11.5]</v>
      </c>
      <c r="N120" s="65">
        <f>IFERROR(__xludf.DUMMYFUNCTION("""COMPUTED_VALUE"""),44295.0)</f>
        <v>44295</v>
      </c>
      <c r="O120" s="66">
        <f>IFERROR(__xludf.DUMMYFUNCTION("""COMPUTED_VALUE"""),0.0)</f>
        <v>0</v>
      </c>
      <c r="P120" s="67">
        <f>IFERROR(__xludf.DUMMYFUNCTION("""COMPUTED_VALUE"""),44245.0)</f>
        <v>44245</v>
      </c>
      <c r="Q120" s="68">
        <f>IFERROR(__xludf.DUMMYFUNCTION("""COMPUTED_VALUE"""),172.5)</f>
        <v>172.5</v>
      </c>
      <c r="R120" s="69" t="str">
        <f>IFERROR(__xludf.DUMMYFUNCTION("""COMPUTED_VALUE"""),"B. Riley Securities")</f>
        <v>B. Riley Securities</v>
      </c>
      <c r="S120" s="64">
        <f>IFERROR(__xludf.DUMMYFUNCTION("""COMPUTED_VALUE"""),44975.0)</f>
        <v>44975</v>
      </c>
      <c r="T120" s="70">
        <f>IFERROR(__xludf.DUMMYFUNCTION("""COMPUTED_VALUE"""),0.06986301369863014)</f>
        <v>0.0698630137</v>
      </c>
      <c r="U120" s="71" t="str">
        <f>IFERROR(__xludf.DUMMYFUNCTION("""COMPUTED_VALUE"""),"https://www.sec.gov/cgi-bin/browse-edgar?CIK=1839360")</f>
        <v>https://www.sec.gov/cgi-bin/browse-edgar?CIK=1839360</v>
      </c>
      <c r="V120" s="72" t="str">
        <f>IFERROR(__xludf.DUMMYFUNCTION("""COMPUTED_VALUE"""),"         Well-known Sponsor   ")</f>
        <v>         Well-known Sponsor   </v>
      </c>
      <c r="W120" s="73"/>
      <c r="X120" s="74"/>
      <c r="Y120" s="75"/>
      <c r="Z120" s="60"/>
      <c r="AA120" s="60"/>
      <c r="AB120" s="60"/>
      <c r="AC120" s="60"/>
      <c r="AD120" s="73"/>
      <c r="AE120" s="73"/>
      <c r="AF120" s="76"/>
      <c r="AG120" s="60" t="str">
        <f>IFERROR(__xludf.DUMMYFUNCTION("""COMPUTED_VALUE"""),"")</f>
        <v/>
      </c>
    </row>
    <row r="121">
      <c r="A121" s="54" t="str">
        <f>IFERROR(__xludf.DUMMYFUNCTION("""COMPUTED_VALUE"""),"BSKY")</f>
        <v>BSKY</v>
      </c>
      <c r="B121" s="55" t="str">
        <f>IFERROR(__xludf.DUMMYFUNCTION("""COMPUTED_VALUE"""),"Big Sky Growth Partners, Inc.")</f>
        <v>Big Sky Growth Partners, Inc.</v>
      </c>
      <c r="C121" s="56" t="str">
        <f>IFERROR(__xludf.DUMMYFUNCTION("""COMPUTED_VALUE"""),"Pre IPO")</f>
        <v>Pre IPO</v>
      </c>
      <c r="D121" s="77" t="str">
        <f>IFERROR(__xludf.DUMMYFUNCTION("""COMPUTED_VALUE"""),"Internet Retail and Direct-to-Consumer")</f>
        <v>Internet Retail and Direct-to-Consumer</v>
      </c>
      <c r="E121" s="58"/>
      <c r="F121" s="59" t="str">
        <f>IFERROR(__xludf.DUMMYFUNCTION("""COMPUTED_VALUE"""),"Mark Vadon (Co-founder of Zulily, Former Chairman of Chewy), Joseph Zwillinger (Co-founder of Allbirds), Michael Smith (Director &amp; Former COO of Stitch Fix, Former COO of Walmart.com, Director of Ulta Beauty)")</f>
        <v>Mark Vadon (Co-founder of Zulily, Former Chairman of Chewy), Joseph Zwillinger (Co-founder of Allbirds), Michael Smith (Director &amp; Former COO of Stitch Fix, Former COO of Walmart.com, Director of Ulta Beauty)</v>
      </c>
      <c r="G121" s="60">
        <f>IFERROR(__xludf.DUMMYFUNCTION("""COMPUTED_VALUE"""),3.0E8)</f>
        <v>300000000</v>
      </c>
      <c r="H121" s="60" t="str">
        <f>IFERROR(__xludf.DUMMYFUNCTION("""COMPUTED_VALUE""")," ")</f>
        <v> </v>
      </c>
      <c r="I121" s="61" t="str">
        <f>IFERROR(__xludf.DUMMYFUNCTION("""COMPUTED_VALUE""")," ")</f>
        <v> </v>
      </c>
      <c r="J121" s="62" t="str">
        <f>IFERROR(__xludf.DUMMYFUNCTION("""COMPUTED_VALUE""")," ")</f>
        <v> </v>
      </c>
      <c r="K121" s="59" t="str">
        <f>IFERROR(__xludf.DUMMYFUNCTION("""COMPUTED_VALUE""")," ")</f>
        <v> </v>
      </c>
      <c r="L121" s="63" t="str">
        <f>IFERROR(__xludf.DUMMYFUNCTION("""COMPUTED_VALUE""")," ")</f>
        <v> </v>
      </c>
      <c r="M121" s="64" t="str">
        <f>IFERROR(__xludf.DUMMYFUNCTION("""COMPUTED_VALUE"""),"U: [1/4 W]; W: [1:1, $11.5]")</f>
        <v>U: [1/4 W]; W: [1:1, $11.5]</v>
      </c>
      <c r="N121" s="65" t="str">
        <f>IFERROR(__xludf.DUMMYFUNCTION("""COMPUTED_VALUE"""),"")</f>
        <v/>
      </c>
      <c r="O121" s="66">
        <f>IFERROR(__xludf.DUMMYFUNCTION("""COMPUTED_VALUE"""),0.0)</f>
        <v>0</v>
      </c>
      <c r="P121" s="67"/>
      <c r="Q121" s="68">
        <f>IFERROR(__xludf.DUMMYFUNCTION("""COMPUTED_VALUE"""),300.0)</f>
        <v>300</v>
      </c>
      <c r="R121" s="69" t="str">
        <f>IFERROR(__xludf.DUMMYFUNCTION("""COMPUTED_VALUE"""),"Goldman Sachs &amp; Co. LLC")</f>
        <v>Goldman Sachs &amp; Co. LLC</v>
      </c>
      <c r="S121" s="64">
        <f>IFERROR(__xludf.DUMMYFUNCTION("""COMPUTED_VALUE"""),45086.0)</f>
        <v>45086</v>
      </c>
      <c r="T121" s="70" t="str">
        <f>IFERROR(__xludf.DUMMYFUNCTION("""COMPUTED_VALUE"""),"")</f>
        <v/>
      </c>
      <c r="U121" s="71" t="str">
        <f>IFERROR(__xludf.DUMMYFUNCTION("""COMPUTED_VALUE"""),"https://www.sec.gov/cgi-bin/browse-edgar?CIK=1846804")</f>
        <v>https://www.sec.gov/cgi-bin/browse-edgar?CIK=1846804</v>
      </c>
      <c r="V121" s="72" t="str">
        <f>IFERROR(__xludf.DUMMYFUNCTION("""COMPUTED_VALUE"""),"         Well-known Sponsor  Top Tier UW ")</f>
        <v>         Well-known Sponsor  Top Tier UW </v>
      </c>
      <c r="W121" s="73"/>
      <c r="X121" s="74"/>
      <c r="Y121" s="75"/>
      <c r="Z121" s="60"/>
      <c r="AA121" s="60"/>
      <c r="AB121" s="60"/>
      <c r="AC121" s="60"/>
      <c r="AD121" s="73"/>
      <c r="AE121" s="73"/>
      <c r="AF121" s="76"/>
      <c r="AG121" s="60"/>
    </row>
    <row r="122">
      <c r="A122" s="54" t="str">
        <f>IFERROR(__xludf.DUMMYFUNCTION("""COMPUTED_VALUE"""),"BSN")</f>
        <v>BSN</v>
      </c>
      <c r="B122" s="55" t="str">
        <f>IFERROR(__xludf.DUMMYFUNCTION("""COMPUTED_VALUE"""),"Broadstone Acquisition Corp.")</f>
        <v>Broadstone Acquisition Corp.</v>
      </c>
      <c r="C122" s="56" t="str">
        <f>IFERROR(__xludf.DUMMYFUNCTION("""COMPUTED_VALUE"""),"Searching")</f>
        <v>Searching</v>
      </c>
      <c r="D122" s="57" t="str">
        <f>IFERROR(__xludf.DUMMYFUNCTION("""COMPUTED_VALUE"""),"Stressed, Europe, UK")</f>
        <v>Stressed, Europe, UK</v>
      </c>
      <c r="E122" s="58"/>
      <c r="F122" s="59"/>
      <c r="G122" s="60">
        <f>IFERROR(__xludf.DUMMYFUNCTION("""COMPUTED_VALUE"""),3.0530001E8)</f>
        <v>305300010</v>
      </c>
      <c r="H122" s="60">
        <f>IFERROR(__xludf.DUMMYFUNCTION("""COMPUTED_VALUE"""),3.04387101E8)</f>
        <v>304387101</v>
      </c>
      <c r="I122" s="61">
        <f>IFERROR(__xludf.DUMMYFUNCTION("""COMPUTED_VALUE"""),9.97)</f>
        <v>9.97</v>
      </c>
      <c r="J122" s="62">
        <f>IFERROR(__xludf.DUMMYFUNCTION("""COMPUTED_VALUE"""),0.00504)</f>
        <v>0.00504</v>
      </c>
      <c r="K122" s="59">
        <f>IFERROR(__xludf.DUMMYFUNCTION("""COMPUTED_VALUE"""),10.27)</f>
        <v>10.27</v>
      </c>
      <c r="L122" s="63">
        <f>IFERROR(__xludf.DUMMYFUNCTION("""COMPUTED_VALUE"""),0.89)</f>
        <v>0.89</v>
      </c>
      <c r="M122" s="64" t="str">
        <f>IFERROR(__xludf.DUMMYFUNCTION("""COMPUTED_VALUE"""),"U: [1/2 W]; W: [1:1, $11.5]")</f>
        <v>U: [1/2 W]; W: [1:1, $11.5]</v>
      </c>
      <c r="N122" s="65" t="str">
        <f>IFERROR(__xludf.DUMMYFUNCTION("""COMPUTED_VALUE"""),"")</f>
        <v/>
      </c>
      <c r="O122" s="66">
        <f>IFERROR(__xludf.DUMMYFUNCTION("""COMPUTED_VALUE"""),0.0)</f>
        <v>0</v>
      </c>
      <c r="P122" s="67">
        <f>IFERROR(__xludf.DUMMYFUNCTION("""COMPUTED_VALUE"""),44085.0)</f>
        <v>44085</v>
      </c>
      <c r="Q122" s="68">
        <f>IFERROR(__xludf.DUMMYFUNCTION("""COMPUTED_VALUE"""),305.30301)</f>
        <v>305.30301</v>
      </c>
      <c r="R122" s="69" t="str">
        <f>IFERROR(__xludf.DUMMYFUNCTION("""COMPUTED_VALUE"""),"Citigroup")</f>
        <v>Citigroup</v>
      </c>
      <c r="S122" s="64">
        <f>IFERROR(__xludf.DUMMYFUNCTION("""COMPUTED_VALUE"""),44815.0)</f>
        <v>44815</v>
      </c>
      <c r="T122" s="70">
        <f>IFERROR(__xludf.DUMMYFUNCTION("""COMPUTED_VALUE"""),0.28904109589041094)</f>
        <v>0.2890410959</v>
      </c>
      <c r="U122" s="71" t="str">
        <f>IFERROR(__xludf.DUMMYFUNCTION("""COMPUTED_VALUE"""),"https://www.sec.gov/cgi-bin/browse-edgar?CIK=1815805")</f>
        <v>https://www.sec.gov/cgi-bin/browse-edgar?CIK=1815805</v>
      </c>
      <c r="V122" s="72" t="str">
        <f>IFERROR(__xludf.DUMMYFUNCTION("""COMPUTED_VALUE""")," Trading Below $10 (Common)          Top Tier UW ")</f>
        <v> Trading Below $10 (Common)          Top Tier UW </v>
      </c>
      <c r="W122" s="73"/>
      <c r="X122" s="74"/>
      <c r="Y122" s="75"/>
      <c r="Z122" s="60"/>
      <c r="AA122" s="60"/>
      <c r="AB122" s="60"/>
      <c r="AC122" s="60"/>
      <c r="AD122" s="73"/>
      <c r="AE122" s="73"/>
      <c r="AF122" s="76"/>
      <c r="AG122" s="60" t="str">
        <f>IFERROR(__xludf.DUMMYFUNCTION("""COMPUTED_VALUE"""),"")</f>
        <v/>
      </c>
    </row>
    <row r="123">
      <c r="A123" s="54" t="str">
        <f>IFERROR(__xludf.DUMMYFUNCTION("""COMPUTED_VALUE"""),"BTAQ")</f>
        <v>BTAQ</v>
      </c>
      <c r="B123" s="55" t="str">
        <f>IFERROR(__xludf.DUMMYFUNCTION("""COMPUTED_VALUE"""),"Burgundy Technology Acquisition Corp")</f>
        <v>Burgundy Technology Acquisition Corp</v>
      </c>
      <c r="C123" s="56" t="str">
        <f>IFERROR(__xludf.DUMMYFUNCTION("""COMPUTED_VALUE"""),"Searching")</f>
        <v>Searching</v>
      </c>
      <c r="D123" s="57" t="str">
        <f>IFERROR(__xludf.DUMMYFUNCTION("""COMPUTED_VALUE"""),"Tech (Europe, Israel, US)")</f>
        <v>Tech (Europe, Israel, US)</v>
      </c>
      <c r="E123" s="58"/>
      <c r="F123" s="59" t="str">
        <f>IFERROR(__xludf.DUMMYFUNCTION("""COMPUTED_VALUE"""),"Leo Apotheker (Former CEO of HP)")</f>
        <v>Leo Apotheker (Former CEO of HP)</v>
      </c>
      <c r="G123" s="60">
        <f>IFERROR(__xludf.DUMMYFUNCTION("""COMPUTED_VALUE"""),3.46736767E8)</f>
        <v>346736767</v>
      </c>
      <c r="H123" s="60">
        <f>IFERROR(__xludf.DUMMYFUNCTION("""COMPUTED_VALUE"""),3.58114375E8)</f>
        <v>358114375</v>
      </c>
      <c r="I123" s="61">
        <f>IFERROR(__xludf.DUMMYFUNCTION("""COMPUTED_VALUE"""),10.07)</f>
        <v>10.07</v>
      </c>
      <c r="J123" s="62">
        <f>IFERROR(__xludf.DUMMYFUNCTION("""COMPUTED_VALUE"""),-0.00788)</f>
        <v>-0.00788</v>
      </c>
      <c r="K123" s="59">
        <f>IFERROR(__xludf.DUMMYFUNCTION("""COMPUTED_VALUE"""),10.59)</f>
        <v>10.59</v>
      </c>
      <c r="L123" s="63">
        <f>IFERROR(__xludf.DUMMYFUNCTION("""COMPUTED_VALUE"""),1.1501)</f>
        <v>1.1501</v>
      </c>
      <c r="M123" s="64" t="str">
        <f>IFERROR(__xludf.DUMMYFUNCTION("""COMPUTED_VALUE"""),"U: [1/2 W]; W: [1:1, $11.5]")</f>
        <v>U: [1/2 W]; W: [1:1, $11.5]</v>
      </c>
      <c r="N123" s="65" t="str">
        <f>IFERROR(__xludf.DUMMYFUNCTION("""COMPUTED_VALUE"""),"")</f>
        <v/>
      </c>
      <c r="O123" s="66">
        <f>IFERROR(__xludf.DUMMYFUNCTION("""COMPUTED_VALUE"""),0.0)</f>
        <v>0</v>
      </c>
      <c r="P123" s="67">
        <f>IFERROR(__xludf.DUMMYFUNCTION("""COMPUTED_VALUE"""),44069.0)</f>
        <v>44069</v>
      </c>
      <c r="Q123" s="68">
        <f>IFERROR(__xludf.DUMMYFUNCTION("""COMPUTED_VALUE"""),346.725)</f>
        <v>346.725</v>
      </c>
      <c r="R123" s="69" t="str">
        <f>IFERROR(__xludf.DUMMYFUNCTION("""COMPUTED_VALUE"""),"Mizuho, I-Bankers")</f>
        <v>Mizuho, I-Bankers</v>
      </c>
      <c r="S123" s="64">
        <f>IFERROR(__xludf.DUMMYFUNCTION("""COMPUTED_VALUE"""),44799.0)</f>
        <v>44799</v>
      </c>
      <c r="T123" s="70">
        <f>IFERROR(__xludf.DUMMYFUNCTION("""COMPUTED_VALUE"""),0.31095890410958904)</f>
        <v>0.3109589041</v>
      </c>
      <c r="U123" s="71" t="str">
        <f>IFERROR(__xludf.DUMMYFUNCTION("""COMPUTED_VALUE"""),"https://www.sec.gov/cgi-bin/browse-edgar?CIK=1815526")</f>
        <v>https://www.sec.gov/cgi-bin/browse-edgar?CIK=1815526</v>
      </c>
      <c r="V123" s="72" t="str">
        <f>IFERROR(__xludf.DUMMYFUNCTION("""COMPUTED_VALUE"""),"     Optionable    Well-known Sponsor   ")</f>
        <v>     Optionable    Well-known Sponsor   </v>
      </c>
      <c r="W123" s="73"/>
      <c r="X123" s="74"/>
      <c r="Y123" s="75"/>
      <c r="Z123" s="60"/>
      <c r="AA123" s="60"/>
      <c r="AB123" s="60"/>
      <c r="AC123" s="60"/>
      <c r="AD123" s="73"/>
      <c r="AE123" s="73"/>
      <c r="AF123" s="76"/>
      <c r="AG123" s="60" t="str">
        <f>IFERROR(__xludf.DUMMYFUNCTION("""COMPUTED_VALUE"""),"")</f>
        <v/>
      </c>
    </row>
    <row r="124">
      <c r="A124" s="54" t="str">
        <f>IFERROR(__xludf.DUMMYFUNCTION("""COMPUTED_VALUE"""),"BTNB")</f>
        <v>BTNB</v>
      </c>
      <c r="B124" s="55" t="str">
        <f>IFERROR(__xludf.DUMMYFUNCTION("""COMPUTED_VALUE"""),"Bridgetown 2 Holdings Limited")</f>
        <v>Bridgetown 2 Holdings Limited</v>
      </c>
      <c r="C124" s="56" t="str">
        <f>IFERROR(__xludf.DUMMYFUNCTION("""COMPUTED_VALUE"""),"Searching")</f>
        <v>Searching</v>
      </c>
      <c r="D124" s="57" t="str">
        <f>IFERROR(__xludf.DUMMYFUNCTION("""COMPUTED_VALUE"""),"Tech, financial services, or media sectors in Southeast Asia")</f>
        <v>Tech, financial services, or media sectors in Southeast Asia</v>
      </c>
      <c r="E124" s="58"/>
      <c r="F124" s="59" t="str">
        <f>IFERROR(__xludf.DUMMYFUNCTION("""COMPUTED_VALUE"""),"Pacific Century, Thiel Capital, Sam Altman (CEO, OpenAI; Fmr President, Y Combinator; Director, Reddit), Matt Danzeisen (Head of Private Investments, Thiel Capital: Peter Thiel), John Hass (Partner, RRE Ventures), Kenneth Ng (Founder, Ark Pacific; CEO, ML"&amp;"AC SPAC)")</f>
        <v>Pacific Century, Thiel Capital, Sam Altman (CEO, OpenAI; Fmr President, Y Combinator; Director, Reddit), Matt Danzeisen (Head of Private Investments, Thiel Capital: Peter Thiel), John Hass (Partner, RRE Ventures), Kenneth Ng (Founder, Ark Pacific; CEO, MLAC SPAC)</v>
      </c>
      <c r="G124" s="60">
        <f>IFERROR(__xludf.DUMMYFUNCTION("""COMPUTED_VALUE"""),2.99E8)</f>
        <v>299000000</v>
      </c>
      <c r="H124" s="60">
        <f>IFERROR(__xludf.DUMMYFUNCTION("""COMPUTED_VALUE"""),3.20827E8)</f>
        <v>320827000</v>
      </c>
      <c r="I124" s="61">
        <f>IFERROR(__xludf.DUMMYFUNCTION("""COMPUTED_VALUE"""),10.73)</f>
        <v>10.73</v>
      </c>
      <c r="J124" s="62">
        <f>IFERROR(__xludf.DUMMYFUNCTION("""COMPUTED_VALUE"""),-0.00371)</f>
        <v>-0.00371</v>
      </c>
      <c r="K124" s="59" t="str">
        <f>IFERROR(__xludf.DUMMYFUNCTION("""COMPUTED_VALUE""")," ")</f>
        <v> </v>
      </c>
      <c r="L124" s="63" t="str">
        <f>IFERROR(__xludf.DUMMYFUNCTION("""COMPUTED_VALUE""")," ")</f>
        <v> </v>
      </c>
      <c r="M124" s="64" t="str">
        <f>IFERROR(__xludf.DUMMYFUNCTION("""COMPUTED_VALUE"""),"U: [No units]; W: [No warrants]")</f>
        <v>U: [No units]; W: [No warrants]</v>
      </c>
      <c r="N124" s="65" t="str">
        <f>IFERROR(__xludf.DUMMYFUNCTION("""COMPUTED_VALUE"""),"")</f>
        <v/>
      </c>
      <c r="O124" s="66">
        <f>IFERROR(__xludf.DUMMYFUNCTION("""COMPUTED_VALUE"""),0.0)</f>
        <v>0</v>
      </c>
      <c r="P124" s="67">
        <f>IFERROR(__xludf.DUMMYFUNCTION("""COMPUTED_VALUE"""),44221.0)</f>
        <v>44221</v>
      </c>
      <c r="Q124" s="68">
        <f>IFERROR(__xludf.DUMMYFUNCTION("""COMPUTED_VALUE"""),299.0)</f>
        <v>299</v>
      </c>
      <c r="R124" s="69" t="str">
        <f>IFERROR(__xludf.DUMMYFUNCTION("""COMPUTED_VALUE"""),"Citigroup, BTIG")</f>
        <v>Citigroup, BTIG</v>
      </c>
      <c r="S124" s="64">
        <f>IFERROR(__xludf.DUMMYFUNCTION("""COMPUTED_VALUE"""),44951.0)</f>
        <v>44951</v>
      </c>
      <c r="T124" s="70">
        <f>IFERROR(__xludf.DUMMYFUNCTION("""COMPUTED_VALUE"""),0.10273972602739725)</f>
        <v>0.102739726</v>
      </c>
      <c r="U124" s="71" t="str">
        <f>IFERROR(__xludf.DUMMYFUNCTION("""COMPUTED_VALUE"""),"https://www.sec.gov/cgi-bin/browse-edgar?CIK=1831236")</f>
        <v>https://www.sec.gov/cgi-bin/browse-edgar?CIK=1831236</v>
      </c>
      <c r="V124" s="72" t="str">
        <f>IFERROR(__xludf.DUMMYFUNCTION("""COMPUTED_VALUE"""),"     Optionable    Well-known Sponsor  Top Tier UW ")</f>
        <v>     Optionable    Well-known Sponsor  Top Tier UW </v>
      </c>
      <c r="W124" s="73"/>
      <c r="X124" s="74"/>
      <c r="Y124" s="75"/>
      <c r="Z124" s="60"/>
      <c r="AA124" s="60"/>
      <c r="AB124" s="60"/>
      <c r="AC124" s="60"/>
      <c r="AD124" s="73"/>
      <c r="AE124" s="73"/>
      <c r="AF124" s="76"/>
      <c r="AG124" s="60" t="str">
        <f>IFERROR(__xludf.DUMMYFUNCTION("""COMPUTED_VALUE"""),"")</f>
        <v/>
      </c>
    </row>
    <row r="125">
      <c r="A125" s="54" t="str">
        <f>IFERROR(__xludf.DUMMYFUNCTION("""COMPUTED_VALUE"""),"BTVC")</f>
        <v>BTVC</v>
      </c>
      <c r="B125" s="55" t="str">
        <f>IFERROR(__xludf.DUMMYFUNCTION("""COMPUTED_VALUE"""),"Tribe Capital Growth Corp II")</f>
        <v>Tribe Capital Growth Corp II</v>
      </c>
      <c r="C125" s="56" t="str">
        <f>IFERROR(__xludf.DUMMYFUNCTION("""COMPUTED_VALUE"""),"Pre IPO")</f>
        <v>Pre IPO</v>
      </c>
      <c r="D125" s="57" t="str">
        <f>IFERROR(__xludf.DUMMYFUNCTION("""COMPUTED_VALUE"""),"Tech")</f>
        <v>Tech</v>
      </c>
      <c r="E125" s="58"/>
      <c r="F125" s="59" t="str">
        <f>IFERROR(__xludf.DUMMYFUNCTION("""COMPUTED_VALUE"""),"Arjun Sethi (Co-founder of Tribe Capital and Former Partner of Social Capital), Richard Peretz (Former CFO of UPS), Carol Foster (Former COO &amp; CFO of SharesPost), Odell Beckham Jr. (NFL Player), Henry Ward (CEO of Carta)")</f>
        <v>Arjun Sethi (Co-founder of Tribe Capital and Former Partner of Social Capital), Richard Peretz (Former CFO of UPS), Carol Foster (Former COO &amp; CFO of SharesPost), Odell Beckham Jr. (NFL Player), Henry Ward (CEO of Carta)</v>
      </c>
      <c r="G125" s="60">
        <f>IFERROR(__xludf.DUMMYFUNCTION("""COMPUTED_VALUE"""),3.0E8)</f>
        <v>300000000</v>
      </c>
      <c r="H125" s="60" t="str">
        <f>IFERROR(__xludf.DUMMYFUNCTION("""COMPUTED_VALUE""")," ")</f>
        <v> </v>
      </c>
      <c r="I125" s="61" t="str">
        <f>IFERROR(__xludf.DUMMYFUNCTION("""COMPUTED_VALUE""")," ")</f>
        <v> </v>
      </c>
      <c r="J125" s="62" t="str">
        <f>IFERROR(__xludf.DUMMYFUNCTION("""COMPUTED_VALUE""")," ")</f>
        <v> </v>
      </c>
      <c r="K125" s="59" t="str">
        <f>IFERROR(__xludf.DUMMYFUNCTION("""COMPUTED_VALUE""")," ")</f>
        <v> </v>
      </c>
      <c r="L125" s="63" t="str">
        <f>IFERROR(__xludf.DUMMYFUNCTION("""COMPUTED_VALUE""")," ")</f>
        <v> </v>
      </c>
      <c r="M125" s="64" t="str">
        <f>IFERROR(__xludf.DUMMYFUNCTION("""COMPUTED_VALUE"""),"U: [1/4 W]; W: [1:1, $11.5]")</f>
        <v>U: [1/4 W]; W: [1:1, $11.5]</v>
      </c>
      <c r="N125" s="65" t="str">
        <f>IFERROR(__xludf.DUMMYFUNCTION("""COMPUTED_VALUE"""),"")</f>
        <v/>
      </c>
      <c r="O125" s="66">
        <f>IFERROR(__xludf.DUMMYFUNCTION("""COMPUTED_VALUE"""),0.0)</f>
        <v>0</v>
      </c>
      <c r="P125" s="67"/>
      <c r="Q125" s="68">
        <f>IFERROR(__xludf.DUMMYFUNCTION("""COMPUTED_VALUE"""),300.0)</f>
        <v>300</v>
      </c>
      <c r="R125" s="69" t="str">
        <f>IFERROR(__xludf.DUMMYFUNCTION("""COMPUTED_VALUE"""),"Cantor, William &amp; Blair")</f>
        <v>Cantor, William &amp; Blair</v>
      </c>
      <c r="S125" s="64">
        <f>IFERROR(__xludf.DUMMYFUNCTION("""COMPUTED_VALUE"""),45086.0)</f>
        <v>45086</v>
      </c>
      <c r="T125" s="70" t="str">
        <f>IFERROR(__xludf.DUMMYFUNCTION("""COMPUTED_VALUE"""),"")</f>
        <v/>
      </c>
      <c r="U125" s="71" t="str">
        <f>IFERROR(__xludf.DUMMYFUNCTION("""COMPUTED_VALUE"""),"https://www.sec.gov/cgi-bin/browse-edgar?CIK=1846599")</f>
        <v>https://www.sec.gov/cgi-bin/browse-edgar?CIK=1846599</v>
      </c>
      <c r="V125" s="72" t="str">
        <f>IFERROR(__xludf.DUMMYFUNCTION("""COMPUTED_VALUE"""),"            ")</f>
        <v>            </v>
      </c>
      <c r="W125" s="73"/>
      <c r="X125" s="74"/>
      <c r="Y125" s="75"/>
      <c r="Z125" s="60"/>
      <c r="AA125" s="60"/>
      <c r="AB125" s="60"/>
      <c r="AC125" s="60"/>
      <c r="AD125" s="73"/>
      <c r="AE125" s="73"/>
      <c r="AF125" s="76"/>
      <c r="AG125" s="60"/>
    </row>
    <row r="126">
      <c r="A126" s="54" t="str">
        <f>IFERROR(__xludf.DUMMYFUNCTION("""COMPUTED_VALUE"""),"BTWN")</f>
        <v>BTWN</v>
      </c>
      <c r="B126" s="55" t="str">
        <f>IFERROR(__xludf.DUMMYFUNCTION("""COMPUTED_VALUE"""),"Bridgetown Holdings Limited")</f>
        <v>Bridgetown Holdings Limited</v>
      </c>
      <c r="C126" s="56" t="str">
        <f>IFERROR(__xludf.DUMMYFUNCTION("""COMPUTED_VALUE"""),"Searching")</f>
        <v>Searching</v>
      </c>
      <c r="D126" s="57" t="str">
        <f>IFERROR(__xludf.DUMMYFUNCTION("""COMPUTED_VALUE"""),"Tech, financial services, or media sectors in Southeast Asia")</f>
        <v>Tech, financial services, or media sectors in Southeast Asia</v>
      </c>
      <c r="E126" s="58" t="str">
        <f>IFERROR(__xludf.DUMMYFUNCTION("""COMPUTED_VALUE"""),"[In talks (unconfirmed) with Traveloka: Per Bloomberg 04/09/21]")</f>
        <v>[In talks (unconfirmed) with Traveloka: Per Bloomberg 04/09/21]</v>
      </c>
      <c r="F126" s="59" t="str">
        <f>IFERROR(__xludf.DUMMYFUNCTION("""COMPUTED_VALUE"""),"Pacific Century, Thiel Capital, Sam Altman (CEO, OpenAI; Fmr President, Y Combinator; Director, Reddit), Matt Danzeisen (Head of Private Investments, Thiel Capital: Peter Thiel), John Hass (Partner, RRE Ventures), Kenneth Ng (Founder, Ark Pacific; CEO, ML"&amp;"AC SPAC)")</f>
        <v>Pacific Century, Thiel Capital, Sam Altman (CEO, OpenAI; Fmr President, Y Combinator; Director, Reddit), Matt Danzeisen (Head of Private Investments, Thiel Capital: Peter Thiel), John Hass (Partner, RRE Ventures), Kenneth Ng (Founder, Ark Pacific; CEO, MLAC SPAC)</v>
      </c>
      <c r="G126" s="60">
        <f>IFERROR(__xludf.DUMMYFUNCTION("""COMPUTED_VALUE"""),5.9499351E8)</f>
        <v>594993510</v>
      </c>
      <c r="H126" s="60">
        <f>IFERROR(__xludf.DUMMYFUNCTION("""COMPUTED_VALUE"""),7.03877322E8)</f>
        <v>703877322</v>
      </c>
      <c r="I126" s="61">
        <f>IFERROR(__xludf.DUMMYFUNCTION("""COMPUTED_VALUE"""),11.83)</f>
        <v>11.83</v>
      </c>
      <c r="J126" s="62">
        <f>IFERROR(__xludf.DUMMYFUNCTION("""COMPUTED_VALUE"""),-0.02312)</f>
        <v>-0.02312</v>
      </c>
      <c r="K126" s="59">
        <f>IFERROR(__xludf.DUMMYFUNCTION("""COMPUTED_VALUE"""),12.96)</f>
        <v>12.96</v>
      </c>
      <c r="L126" s="63">
        <f>IFERROR(__xludf.DUMMYFUNCTION("""COMPUTED_VALUE"""),3.24)</f>
        <v>3.24</v>
      </c>
      <c r="M126" s="64" t="str">
        <f>IFERROR(__xludf.DUMMYFUNCTION("""COMPUTED_VALUE"""),"U: [1/3 W]; W: [1:1, $11.5]")</f>
        <v>U: [1/3 W]; W: [1:1, $11.5]</v>
      </c>
      <c r="N126" s="65" t="str">
        <f>IFERROR(__xludf.DUMMYFUNCTION("""COMPUTED_VALUE"""),"")</f>
        <v/>
      </c>
      <c r="O126" s="66">
        <f>IFERROR(__xludf.DUMMYFUNCTION("""COMPUTED_VALUE"""),0.33000000000000007)</f>
        <v>0.33</v>
      </c>
      <c r="P126" s="67">
        <f>IFERROR(__xludf.DUMMYFUNCTION("""COMPUTED_VALUE"""),44120.0)</f>
        <v>44120</v>
      </c>
      <c r="Q126" s="68">
        <f>IFERROR(__xludf.DUMMYFUNCTION("""COMPUTED_VALUE"""),594.99351)</f>
        <v>594.99351</v>
      </c>
      <c r="R126" s="69" t="str">
        <f>IFERROR(__xludf.DUMMYFUNCTION("""COMPUTED_VALUE"""),"UBS, BTIG")</f>
        <v>UBS, BTIG</v>
      </c>
      <c r="S126" s="64">
        <f>IFERROR(__xludf.DUMMYFUNCTION("""COMPUTED_VALUE"""),44850.0)</f>
        <v>44850</v>
      </c>
      <c r="T126" s="70">
        <f>IFERROR(__xludf.DUMMYFUNCTION("""COMPUTED_VALUE"""),0.2410958904109589)</f>
        <v>0.2410958904</v>
      </c>
      <c r="U126" s="71" t="str">
        <f>IFERROR(__xludf.DUMMYFUNCTION("""COMPUTED_VALUE"""),"https://www.sec.gov/cgi-bin/browse-edgar?CIK=1815086")</f>
        <v>https://www.sec.gov/cgi-bin/browse-edgar?CIK=1815086</v>
      </c>
      <c r="V126" s="72" t="str">
        <f>IFERROR(__xludf.DUMMYFUNCTION("""COMPUTED_VALUE"""),"   $500M+ Trust Optionable    Well-known Sponsor   ")</f>
        <v>   $500M+ Trust Optionable    Well-known Sponsor   </v>
      </c>
      <c r="W126" s="73"/>
      <c r="X126" s="74"/>
      <c r="Y126" s="75"/>
      <c r="Z126" s="60"/>
      <c r="AA126" s="60"/>
      <c r="AB126" s="60"/>
      <c r="AC126" s="60"/>
      <c r="AD126" s="73"/>
      <c r="AE126" s="73"/>
      <c r="AF126" s="76"/>
      <c r="AG126" s="60" t="str">
        <f>IFERROR(__xludf.DUMMYFUNCTION("""COMPUTED_VALUE"""),"")</f>
        <v/>
      </c>
    </row>
    <row r="127">
      <c r="A127" s="54" t="str">
        <f>IFERROR(__xludf.DUMMYFUNCTION("""COMPUTED_VALUE"""),"BWAC")</f>
        <v>BWAC</v>
      </c>
      <c r="B127" s="55" t="str">
        <f>IFERROR(__xludf.DUMMYFUNCTION("""COMPUTED_VALUE"""),"Better World Acquisition Corp.")</f>
        <v>Better World Acquisition Corp.</v>
      </c>
      <c r="C127" s="56" t="str">
        <f>IFERROR(__xludf.DUMMYFUNCTION("""COMPUTED_VALUE"""),"Searching")</f>
        <v>Searching</v>
      </c>
      <c r="D127" s="57" t="str">
        <f>IFERROR(__xludf.DUMMYFUNCTION("""COMPUTED_VALUE"""),"Healthy Living / Strong ESG Profiles")</f>
        <v>Healthy Living / Strong ESG Profiles</v>
      </c>
      <c r="E127" s="58"/>
      <c r="F127" s="59" t="str">
        <f>IFERROR(__xludf.DUMMYFUNCTION("""COMPUTED_VALUE"""),"Rosemary Ripley (Director, Heineken)")</f>
        <v>Rosemary Ripley (Director, Heineken)</v>
      </c>
      <c r="G127" s="60">
        <f>IFERROR(__xludf.DUMMYFUNCTION("""COMPUTED_VALUE"""),1.2744786E8)</f>
        <v>127447860</v>
      </c>
      <c r="H127" s="60">
        <f>IFERROR(__xludf.DUMMYFUNCTION("""COMPUTED_VALUE"""),1.62345154E8)</f>
        <v>162345154</v>
      </c>
      <c r="I127" s="61">
        <f>IFERROR(__xludf.DUMMYFUNCTION("""COMPUTED_VALUE"""),10.08)</f>
        <v>10.08</v>
      </c>
      <c r="J127" s="62">
        <f>IFERROR(__xludf.DUMMYFUNCTION("""COMPUTED_VALUE"""),0.00699)</f>
        <v>0.00699</v>
      </c>
      <c r="K127" s="59">
        <f>IFERROR(__xludf.DUMMYFUNCTION("""COMPUTED_VALUE"""),11.0)</f>
        <v>11</v>
      </c>
      <c r="L127" s="63">
        <f>IFERROR(__xludf.DUMMYFUNCTION("""COMPUTED_VALUE"""),1.13)</f>
        <v>1.13</v>
      </c>
      <c r="M127" s="64" t="str">
        <f>IFERROR(__xludf.DUMMYFUNCTION("""COMPUTED_VALUE"""),"U: [1 W]; W: [1:1, $11.5]")</f>
        <v>U: [1 W]; W: [1:1, $11.5]</v>
      </c>
      <c r="N127" s="65" t="str">
        <f>IFERROR(__xludf.DUMMYFUNCTION("""COMPUTED_VALUE"""),"")</f>
        <v/>
      </c>
      <c r="O127" s="66">
        <f>IFERROR(__xludf.DUMMYFUNCTION("""COMPUTED_VALUE"""),0.0)</f>
        <v>0</v>
      </c>
      <c r="P127" s="67">
        <f>IFERROR(__xludf.DUMMYFUNCTION("""COMPUTED_VALUE"""),44147.0)</f>
        <v>44147</v>
      </c>
      <c r="Q127" s="68">
        <f>IFERROR(__xludf.DUMMYFUNCTION("""COMPUTED_VALUE"""),127.44786)</f>
        <v>127.44786</v>
      </c>
      <c r="R127" s="69" t="str">
        <f>IFERROR(__xludf.DUMMYFUNCTION("""COMPUTED_VALUE"""),"EarlyBirdCapital")</f>
        <v>EarlyBirdCapital</v>
      </c>
      <c r="S127" s="64">
        <f>IFERROR(__xludf.DUMMYFUNCTION("""COMPUTED_VALUE"""),44512.0)</f>
        <v>44512</v>
      </c>
      <c r="T127" s="70">
        <f>IFERROR(__xludf.DUMMYFUNCTION("""COMPUTED_VALUE"""),0.40821917808219177)</f>
        <v>0.4082191781</v>
      </c>
      <c r="U127" s="71" t="str">
        <f>IFERROR(__xludf.DUMMYFUNCTION("""COMPUTED_VALUE"""),"https://www.sec.gov/cgi-bin/browse-edgar?CIK=1821146")</f>
        <v>https://www.sec.gov/cgi-bin/browse-edgar?CIK=1821146</v>
      </c>
      <c r="V127" s="72" t="str">
        <f>IFERROR(__xludf.DUMMYFUNCTION("""COMPUTED_VALUE"""),"     Optionable       ")</f>
        <v>     Optionable       </v>
      </c>
      <c r="W127" s="73"/>
      <c r="X127" s="74"/>
      <c r="Y127" s="75"/>
      <c r="Z127" s="60"/>
      <c r="AA127" s="60"/>
      <c r="AB127" s="60"/>
      <c r="AC127" s="60"/>
      <c r="AD127" s="73"/>
      <c r="AE127" s="73"/>
      <c r="AF127" s="76"/>
      <c r="AG127" s="60" t="str">
        <f>IFERROR(__xludf.DUMMYFUNCTION("""COMPUTED_VALUE"""),"")</f>
        <v/>
      </c>
    </row>
    <row r="128">
      <c r="A128" s="54" t="str">
        <f>IFERROR(__xludf.DUMMYFUNCTION("""COMPUTED_VALUE"""),"BYNO")</f>
        <v>BYNO</v>
      </c>
      <c r="B128" s="55" t="str">
        <f>IFERROR(__xludf.DUMMYFUNCTION("""COMPUTED_VALUE"""),"byNordic Acquisition Corp")</f>
        <v>byNordic Acquisition Corp</v>
      </c>
      <c r="C128" s="56" t="str">
        <f>IFERROR(__xludf.DUMMYFUNCTION("""COMPUTED_VALUE"""),"Pre IPO")</f>
        <v>Pre IPO</v>
      </c>
      <c r="D128" s="57" t="str">
        <f>IFERROR(__xludf.DUMMYFUNCTION("""COMPUTED_VALUE"""),"Northern Europe, Fintech, Tech")</f>
        <v>Northern Europe, Fintech, Tech</v>
      </c>
      <c r="E128" s="58"/>
      <c r="F128" s="59" t="str">
        <f>IFERROR(__xludf.DUMMYFUNCTION("""COMPUTED_VALUE"""),"Jonas Olsson (Global controller, H&amp;M)")</f>
        <v>Jonas Olsson (Global controller, H&amp;M)</v>
      </c>
      <c r="G128" s="60">
        <f>IFERROR(__xludf.DUMMYFUNCTION("""COMPUTED_VALUE"""),1.0E8)</f>
        <v>100000000</v>
      </c>
      <c r="H128" s="60" t="str">
        <f>IFERROR(__xludf.DUMMYFUNCTION("""COMPUTED_VALUE""")," ")</f>
        <v> </v>
      </c>
      <c r="I128" s="61" t="str">
        <f>IFERROR(__xludf.DUMMYFUNCTION("""COMPUTED_VALUE""")," ")</f>
        <v> </v>
      </c>
      <c r="J128" s="62" t="str">
        <f>IFERROR(__xludf.DUMMYFUNCTION("""COMPUTED_VALUE""")," ")</f>
        <v> </v>
      </c>
      <c r="K128" s="59" t="str">
        <f>IFERROR(__xludf.DUMMYFUNCTION("""COMPUTED_VALUE""")," ")</f>
        <v> </v>
      </c>
      <c r="L128" s="63" t="str">
        <f>IFERROR(__xludf.DUMMYFUNCTION("""COMPUTED_VALUE""")," ")</f>
        <v> </v>
      </c>
      <c r="M128" s="64" t="str">
        <f>IFERROR(__xludf.DUMMYFUNCTION("""COMPUTED_VALUE"""),"U: [3/4 W]; W: [1:1, $11.5]")</f>
        <v>U: [3/4 W]; W: [1:1, $11.5]</v>
      </c>
      <c r="N128" s="65" t="str">
        <f>IFERROR(__xludf.DUMMYFUNCTION("""COMPUTED_VALUE"""),"")</f>
        <v/>
      </c>
      <c r="O128" s="66" t="str">
        <f>IFERROR(__xludf.DUMMYFUNCTION("""COMPUTED_VALUE"""),"")</f>
        <v/>
      </c>
      <c r="P128" s="67"/>
      <c r="Q128" s="68">
        <f>IFERROR(__xludf.DUMMYFUNCTION("""COMPUTED_VALUE"""),100.0)</f>
        <v>100</v>
      </c>
      <c r="R128" s="69" t="str">
        <f>IFERROR(__xludf.DUMMYFUNCTION("""COMPUTED_VALUE"""),"Keefe, Bruyette &amp; Woods, Drexel Hamilton, I-Bankers")</f>
        <v>Keefe, Bruyette &amp; Woods, Drexel Hamilton, I-Bankers</v>
      </c>
      <c r="S128" s="64">
        <f>IFERROR(__xludf.DUMMYFUNCTION("""COMPUTED_VALUE"""),45086.0)</f>
        <v>45086</v>
      </c>
      <c r="T128" s="70" t="str">
        <f>IFERROR(__xludf.DUMMYFUNCTION("""COMPUTED_VALUE"""),"")</f>
        <v/>
      </c>
      <c r="U128" s="71" t="str">
        <f>IFERROR(__xludf.DUMMYFUNCTION("""COMPUTED_VALUE"""),"https://www.sec.gov/cgi-bin/browse-edgar?CIK=1801417")</f>
        <v>https://www.sec.gov/cgi-bin/browse-edgar?CIK=1801417</v>
      </c>
      <c r="V128" s="72" t="str">
        <f>IFERROR(__xludf.DUMMYFUNCTION("""COMPUTED_VALUE"""),"            ")</f>
        <v>            </v>
      </c>
      <c r="W128" s="73"/>
      <c r="X128" s="74"/>
      <c r="Y128" s="75"/>
      <c r="Z128" s="60"/>
      <c r="AA128" s="60"/>
      <c r="AB128" s="60"/>
      <c r="AC128" s="60"/>
      <c r="AD128" s="73"/>
      <c r="AE128" s="73"/>
      <c r="AF128" s="76"/>
      <c r="AG128" s="60" t="str">
        <f>IFERROR(__xludf.DUMMYFUNCTION("""COMPUTED_VALUE"""),"")</f>
        <v/>
      </c>
    </row>
    <row r="129">
      <c r="A129" s="54" t="str">
        <f>IFERROR(__xludf.DUMMYFUNCTION("""COMPUTED_VALUE"""),"BYTS")</f>
        <v>BYTS</v>
      </c>
      <c r="B129" s="55" t="str">
        <f>IFERROR(__xludf.DUMMYFUNCTION("""COMPUTED_VALUE"""),"BYTE Acquisition Corp.")</f>
        <v>BYTE Acquisition Corp.</v>
      </c>
      <c r="C129" s="56" t="str">
        <f>IFERROR(__xludf.DUMMYFUNCTION("""COMPUTED_VALUE"""),"Searching (Pre Unit Split)")</f>
        <v>Searching (Pre Unit Split)</v>
      </c>
      <c r="D129" s="77" t="str">
        <f>IFERROR(__xludf.DUMMYFUNCTION("""COMPUTED_VALUE"""),"Israeli Tech")</f>
        <v>Israeli Tech</v>
      </c>
      <c r="E129" s="58"/>
      <c r="F129" s="59"/>
      <c r="G129" s="60">
        <f>IFERROR(__xludf.DUMMYFUNCTION("""COMPUTED_VALUE"""),3.237E8)</f>
        <v>323700000</v>
      </c>
      <c r="H129" s="60" t="str">
        <f>IFERROR(__xludf.DUMMYFUNCTION("""COMPUTED_VALUE""")," ")</f>
        <v> </v>
      </c>
      <c r="I129" s="61" t="str">
        <f>IFERROR(__xludf.DUMMYFUNCTION("""COMPUTED_VALUE""")," ")</f>
        <v> </v>
      </c>
      <c r="J129" s="62" t="str">
        <f>IFERROR(__xludf.DUMMYFUNCTION("""COMPUTED_VALUE""")," ")</f>
        <v> </v>
      </c>
      <c r="K129" s="59">
        <f>IFERROR(__xludf.DUMMYFUNCTION("""COMPUTED_VALUE"""),10.15)</f>
        <v>10.15</v>
      </c>
      <c r="L129" s="63" t="str">
        <f>IFERROR(__xludf.DUMMYFUNCTION("""COMPUTED_VALUE""")," ")</f>
        <v> </v>
      </c>
      <c r="M129" s="64" t="str">
        <f>IFERROR(__xludf.DUMMYFUNCTION("""COMPUTED_VALUE"""),"U: [1/2 W]; W: [1:1, $11.5]")</f>
        <v>U: [1/2 W]; W: [1:1, $11.5]</v>
      </c>
      <c r="N129" s="65">
        <f>IFERROR(__xludf.DUMMYFUNCTION("""COMPUTED_VALUE"""),44325.0)</f>
        <v>44325</v>
      </c>
      <c r="O129" s="66">
        <f>IFERROR(__xludf.DUMMYFUNCTION("""COMPUTED_VALUE"""),0.0)</f>
        <v>0</v>
      </c>
      <c r="P129" s="67">
        <f>IFERROR(__xludf.DUMMYFUNCTION("""COMPUTED_VALUE"""),44273.0)</f>
        <v>44273</v>
      </c>
      <c r="Q129" s="68">
        <f>IFERROR(__xludf.DUMMYFUNCTION("""COMPUTED_VALUE"""),323.7)</f>
        <v>323.7</v>
      </c>
      <c r="R129" s="69" t="str">
        <f>IFERROR(__xludf.DUMMYFUNCTION("""COMPUTED_VALUE"""),"Citigroup")</f>
        <v>Citigroup</v>
      </c>
      <c r="S129" s="64">
        <f>IFERROR(__xludf.DUMMYFUNCTION("""COMPUTED_VALUE"""),45003.0)</f>
        <v>45003</v>
      </c>
      <c r="T129" s="70">
        <f>IFERROR(__xludf.DUMMYFUNCTION("""COMPUTED_VALUE"""),0.031506849315068496)</f>
        <v>0.03150684932</v>
      </c>
      <c r="U129" s="71" t="str">
        <f>IFERROR(__xludf.DUMMYFUNCTION("""COMPUTED_VALUE"""),"https://www.sec.gov/cgi-bin/browse-edgar?CIK=1842566")</f>
        <v>https://www.sec.gov/cgi-bin/browse-edgar?CIK=1842566</v>
      </c>
      <c r="V129" s="72" t="str">
        <f>IFERROR(__xludf.DUMMYFUNCTION("""COMPUTED_VALUE"""),"           Top Tier UW ")</f>
        <v>           Top Tier UW </v>
      </c>
      <c r="W129" s="73"/>
      <c r="X129" s="74"/>
      <c r="Y129" s="75"/>
      <c r="Z129" s="60"/>
      <c r="AA129" s="60"/>
      <c r="AB129" s="60"/>
      <c r="AC129" s="60"/>
      <c r="AD129" s="73"/>
      <c r="AE129" s="73"/>
      <c r="AF129" s="76"/>
      <c r="AG129" s="60"/>
    </row>
    <row r="130">
      <c r="A130" s="54" t="str">
        <f>IFERROR(__xludf.DUMMYFUNCTION("""COMPUTED_VALUE"""),"CAHC")</f>
        <v>CAHC</v>
      </c>
      <c r="B130" s="55" t="str">
        <f>IFERROR(__xludf.DUMMYFUNCTION("""COMPUTED_VALUE"""),"CA Healthcare Acquisition Corp.")</f>
        <v>CA Healthcare Acquisition Corp.</v>
      </c>
      <c r="C130" s="56" t="str">
        <f>IFERROR(__xludf.DUMMYFUNCTION("""COMPUTED_VALUE"""),"Definitive Agreement")</f>
        <v>Definitive Agreement</v>
      </c>
      <c r="D130" s="57" t="str">
        <f>IFERROR(__xludf.DUMMYFUNCTION("""COMPUTED_VALUE"""),"Healthcare Services, IT, care management, behavioral health, medical devices, diagnostics, pharma services, health and wellness, and specialty pharmacy")</f>
        <v>Healthcare Services, IT, care management, behavioral health, medical devices, diagnostics, pharma services, health and wellness, and specialty pharmacy</v>
      </c>
      <c r="E130" s="58" t="str">
        <f>IFERROR(__xludf.DUMMYFUNCTION("""COMPUTED_VALUE"""),"LumiraDx [DA: 04/07/21]")</f>
        <v>LumiraDx [DA: 04/07/21]</v>
      </c>
      <c r="F130" s="59"/>
      <c r="G130" s="60">
        <f>IFERROR(__xludf.DUMMYFUNCTION("""COMPUTED_VALUE"""),1.15E8)</f>
        <v>115000000</v>
      </c>
      <c r="H130" s="60">
        <f>IFERROR(__xludf.DUMMYFUNCTION("""COMPUTED_VALUE"""),1.1523E8)</f>
        <v>115230000</v>
      </c>
      <c r="I130" s="61">
        <f>IFERROR(__xludf.DUMMYFUNCTION("""COMPUTED_VALUE"""),10.02)</f>
        <v>10.02</v>
      </c>
      <c r="J130" s="62">
        <f>IFERROR(__xludf.DUMMYFUNCTION("""COMPUTED_VALUE"""),-0.00299)</f>
        <v>-0.00299</v>
      </c>
      <c r="K130" s="59">
        <f>IFERROR(__xludf.DUMMYFUNCTION("""COMPUTED_VALUE"""),10.43)</f>
        <v>10.43</v>
      </c>
      <c r="L130" s="63">
        <f>IFERROR(__xludf.DUMMYFUNCTION("""COMPUTED_VALUE"""),0.89)</f>
        <v>0.89</v>
      </c>
      <c r="M130" s="64" t="str">
        <f>IFERROR(__xludf.DUMMYFUNCTION("""COMPUTED_VALUE"""),"U: [1/2 W]; W: [1:1, $11.5]")</f>
        <v>U: [1/2 W]; W: [1:1, $11.5]</v>
      </c>
      <c r="N130" s="65">
        <f>IFERROR(__xludf.DUMMYFUNCTION("""COMPUTED_VALUE"""),44264.0)</f>
        <v>44264</v>
      </c>
      <c r="O130" s="66">
        <f>IFERROR(__xludf.DUMMYFUNCTION("""COMPUTED_VALUE"""),0.0)</f>
        <v>0</v>
      </c>
      <c r="P130" s="67">
        <f>IFERROR(__xludf.DUMMYFUNCTION("""COMPUTED_VALUE"""),44222.0)</f>
        <v>44222</v>
      </c>
      <c r="Q130" s="68">
        <f>IFERROR(__xludf.DUMMYFUNCTION("""COMPUTED_VALUE"""),115.0)</f>
        <v>115</v>
      </c>
      <c r="R130" s="85" t="str">
        <f>IFERROR(__xludf.DUMMYFUNCTION("""COMPUTED_VALUE"""),"BTIG")</f>
        <v>BTIG</v>
      </c>
      <c r="S130" s="64">
        <f>IFERROR(__xludf.DUMMYFUNCTION("""COMPUTED_VALUE"""),44952.0)</f>
        <v>44952</v>
      </c>
      <c r="T130" s="70">
        <f>IFERROR(__xludf.DUMMYFUNCTION("""COMPUTED_VALUE"""),0.10136986301369863)</f>
        <v>0.101369863</v>
      </c>
      <c r="U130" s="71" t="str">
        <f>IFERROR(__xludf.DUMMYFUNCTION("""COMPUTED_VALUE"""),"https://www.sec.gov/cgi-bin/browse-edgar?CIK=1832352")</f>
        <v>https://www.sec.gov/cgi-bin/browse-edgar?CIK=1832352</v>
      </c>
      <c r="V130" s="72" t="str">
        <f>IFERROR(__xludf.DUMMYFUNCTION("""COMPUTED_VALUE"""),"            ")</f>
        <v>            </v>
      </c>
      <c r="W130" s="73">
        <f>IFERROR(__xludf.DUMMYFUNCTION("""COMPUTED_VALUE"""),44293.0)</f>
        <v>44293</v>
      </c>
      <c r="X130" s="79">
        <f>IFERROR(__xludf.DUMMYFUNCTION("""COMPUTED_VALUE"""),2.3666666666666667)</f>
        <v>2.366666667</v>
      </c>
      <c r="Y130" s="80" t="str">
        <f>IFERROR(__xludf.DUMMYFUNCTION("""COMPUTED_VALUE"""),"https://www.businesswire.com/news/home/20210406006194/en/LumiraDx-a-Next-Generation-Point-of-Care-Diagnostics-Testing-Company-to-List-on-Nasdaq-via-Merger-with-CA-Healthcare-Acquisition-Corp")</f>
        <v>https://www.businesswire.com/news/home/20210406006194/en/LumiraDx-a-Next-Generation-Point-of-Care-Diagnostics-Testing-Company-to-List-on-Nasdaq-via-Merger-with-CA-Healthcare-Acquisition-Corp</v>
      </c>
      <c r="Z130" s="81" t="str">
        <f>IFERROR(__xludf.DUMMYFUNCTION("""COMPUTED_VALUE"""),"https://static1.squarespace.com/static/5fcfb6a6de407d5e35d28f10/t/606d39e702cae0599234a18f/1617770985606/LumiraDx-CAHC.pdf")</f>
        <v>https://static1.squarespace.com/static/5fcfb6a6de407d5e35d28f10/t/606d39e702cae0599234a18f/1617770985606/LumiraDx-CAHC.pdf</v>
      </c>
      <c r="AA130" s="60"/>
      <c r="AB130" s="60">
        <f>IFERROR(__xludf.DUMMYFUNCTION("""COMPUTED_VALUE"""),5.148E9)</f>
        <v>5148000000</v>
      </c>
      <c r="AC130" s="60">
        <f>IFERROR(__xludf.DUMMYFUNCTION("""COMPUTED_VALUE"""),5.033E9)</f>
        <v>5033000000</v>
      </c>
      <c r="AD130" s="73"/>
      <c r="AE130" s="73"/>
      <c r="AF130" s="76">
        <f>IFERROR(__xludf.DUMMYFUNCTION("""COMPUTED_VALUE"""),5.148E8)</f>
        <v>514800000</v>
      </c>
      <c r="AG130" s="60">
        <f>IFERROR(__xludf.DUMMYFUNCTION("""COMPUTED_VALUE"""),5.158296E9)</f>
        <v>5158296000</v>
      </c>
    </row>
    <row r="131">
      <c r="A131" s="54" t="str">
        <f>IFERROR(__xludf.DUMMYFUNCTION("""COMPUTED_VALUE"""),"CAIN")</f>
        <v>CAIN</v>
      </c>
      <c r="B131" s="55" t="str">
        <f>IFERROR(__xludf.DUMMYFUNCTION("""COMPUTED_VALUE"""),"Cain Acquisition Corp")</f>
        <v>Cain Acquisition Corp</v>
      </c>
      <c r="C131" s="56" t="str">
        <f>IFERROR(__xludf.DUMMYFUNCTION("""COMPUTED_VALUE"""),"Pre IPO")</f>
        <v>Pre IPO</v>
      </c>
      <c r="D131" s="77" t="str">
        <f>IFERROR(__xludf.DUMMYFUNCTION("""COMPUTED_VALUE"""),"Experiential Hospitality, Location-based Entertainment, and Real Estate")</f>
        <v>Experiential Hospitality, Location-based Entertainment, and Real Estate</v>
      </c>
      <c r="E131" s="58"/>
      <c r="F131" s="59" t="str">
        <f>IFERROR(__xludf.DUMMYFUNCTION("""COMPUTED_VALUE"""),"Jonathan Goldstein (Founder &amp; CEO of Cain International)")</f>
        <v>Jonathan Goldstein (Founder &amp; CEO of Cain International)</v>
      </c>
      <c r="G131" s="60">
        <f>IFERROR(__xludf.DUMMYFUNCTION("""COMPUTED_VALUE"""),2.5E8)</f>
        <v>250000000</v>
      </c>
      <c r="H131" s="60" t="str">
        <f>IFERROR(__xludf.DUMMYFUNCTION("""COMPUTED_VALUE""")," ")</f>
        <v> </v>
      </c>
      <c r="I131" s="61" t="str">
        <f>IFERROR(__xludf.DUMMYFUNCTION("""COMPUTED_VALUE""")," ")</f>
        <v> </v>
      </c>
      <c r="J131" s="62" t="str">
        <f>IFERROR(__xludf.DUMMYFUNCTION("""COMPUTED_VALUE""")," ")</f>
        <v> </v>
      </c>
      <c r="K131" s="59" t="str">
        <f>IFERROR(__xludf.DUMMYFUNCTION("""COMPUTED_VALUE""")," ")</f>
        <v> </v>
      </c>
      <c r="L131" s="63" t="str">
        <f>IFERROR(__xludf.DUMMYFUNCTION("""COMPUTED_VALUE""")," ")</f>
        <v> </v>
      </c>
      <c r="M131" s="64" t="str">
        <f>IFERROR(__xludf.DUMMYFUNCTION("""COMPUTED_VALUE"""),"U: [1/3 W]; W: [1:1, $11.5]")</f>
        <v>U: [1/3 W]; W: [1:1, $11.5]</v>
      </c>
      <c r="N131" s="65" t="str">
        <f>IFERROR(__xludf.DUMMYFUNCTION("""COMPUTED_VALUE"""),"")</f>
        <v/>
      </c>
      <c r="O131" s="66">
        <f>IFERROR(__xludf.DUMMYFUNCTION("""COMPUTED_VALUE"""),0.0)</f>
        <v>0</v>
      </c>
      <c r="P131" s="67"/>
      <c r="Q131" s="68">
        <f>IFERROR(__xludf.DUMMYFUNCTION("""COMPUTED_VALUE"""),250.0)</f>
        <v>250</v>
      </c>
      <c r="R131" s="85" t="str">
        <f>IFERROR(__xludf.DUMMYFUNCTION("""COMPUTED_VALUE"""),"Credit Suisse")</f>
        <v>Credit Suisse</v>
      </c>
      <c r="S131" s="64">
        <f>IFERROR(__xludf.DUMMYFUNCTION("""COMPUTED_VALUE"""),45086.0)</f>
        <v>45086</v>
      </c>
      <c r="T131" s="70" t="str">
        <f>IFERROR(__xludf.DUMMYFUNCTION("""COMPUTED_VALUE"""),"")</f>
        <v/>
      </c>
      <c r="U131" s="71" t="str">
        <f>IFERROR(__xludf.DUMMYFUNCTION("""COMPUTED_VALUE"""),"https://www.sec.gov/cgi-bin/browse-edgar?CIK=1839527")</f>
        <v>https://www.sec.gov/cgi-bin/browse-edgar?CIK=1839527</v>
      </c>
      <c r="V131" s="72" t="str">
        <f>IFERROR(__xludf.DUMMYFUNCTION("""COMPUTED_VALUE"""),"            ")</f>
        <v>            </v>
      </c>
      <c r="W131" s="73"/>
      <c r="X131" s="74"/>
      <c r="Y131" s="75"/>
      <c r="Z131" s="60"/>
      <c r="AA131" s="60"/>
      <c r="AB131" s="60"/>
      <c r="AC131" s="60"/>
      <c r="AD131" s="73"/>
      <c r="AE131" s="73"/>
      <c r="AF131" s="76"/>
      <c r="AG131" s="60"/>
    </row>
    <row r="132">
      <c r="A132" s="54" t="str">
        <f>IFERROR(__xludf.DUMMYFUNCTION("""COMPUTED_VALUE"""),"CALQ")</f>
        <v>CALQ</v>
      </c>
      <c r="B132" s="55" t="str">
        <f>IFERROR(__xludf.DUMMYFUNCTION("""COMPUTED_VALUE"""),"Callodine Acquisition Corp")</f>
        <v>Callodine Acquisition Corp</v>
      </c>
      <c r="C132" s="56" t="str">
        <f>IFERROR(__xludf.DUMMYFUNCTION("""COMPUTED_VALUE"""),"Pre IPO")</f>
        <v>Pre IPO</v>
      </c>
      <c r="D132" s="57"/>
      <c r="E132" s="58"/>
      <c r="F132" s="59"/>
      <c r="G132" s="60">
        <f>IFERROR(__xludf.DUMMYFUNCTION("""COMPUTED_VALUE"""),2.5E8)</f>
        <v>250000000</v>
      </c>
      <c r="H132" s="60" t="str">
        <f>IFERROR(__xludf.DUMMYFUNCTION("""COMPUTED_VALUE""")," ")</f>
        <v> </v>
      </c>
      <c r="I132" s="61" t="str">
        <f>IFERROR(__xludf.DUMMYFUNCTION("""COMPUTED_VALUE""")," ")</f>
        <v> </v>
      </c>
      <c r="J132" s="62" t="str">
        <f>IFERROR(__xludf.DUMMYFUNCTION("""COMPUTED_VALUE""")," ")</f>
        <v> </v>
      </c>
      <c r="K132" s="59" t="str">
        <f>IFERROR(__xludf.DUMMYFUNCTION("""COMPUTED_VALUE""")," ")</f>
        <v> </v>
      </c>
      <c r="L132" s="63" t="str">
        <f>IFERROR(__xludf.DUMMYFUNCTION("""COMPUTED_VALUE""")," ")</f>
        <v> </v>
      </c>
      <c r="M132" s="64" t="str">
        <f>IFERROR(__xludf.DUMMYFUNCTION("""COMPUTED_VALUE"""),"U: [1/3 W]; W: [1:1, $11.5]")</f>
        <v>U: [1/3 W]; W: [1:1, $11.5]</v>
      </c>
      <c r="N132" s="65" t="str">
        <f>IFERROR(__xludf.DUMMYFUNCTION("""COMPUTED_VALUE"""),"")</f>
        <v/>
      </c>
      <c r="O132" s="66">
        <f>IFERROR(__xludf.DUMMYFUNCTION("""COMPUTED_VALUE"""),0.0)</f>
        <v>0</v>
      </c>
      <c r="P132" s="67"/>
      <c r="Q132" s="68">
        <f>IFERROR(__xludf.DUMMYFUNCTION("""COMPUTED_VALUE"""),250.0)</f>
        <v>250</v>
      </c>
      <c r="R132" s="85" t="str">
        <f>IFERROR(__xludf.DUMMYFUNCTION("""COMPUTED_VALUE"""),"Wells Fargo Securities")</f>
        <v>Wells Fargo Securities</v>
      </c>
      <c r="S132" s="64">
        <f>IFERROR(__xludf.DUMMYFUNCTION("""COMPUTED_VALUE"""),45086.0)</f>
        <v>45086</v>
      </c>
      <c r="T132" s="70" t="str">
        <f>IFERROR(__xludf.DUMMYFUNCTION("""COMPUTED_VALUE"""),"")</f>
        <v/>
      </c>
      <c r="U132" s="71" t="str">
        <f>IFERROR(__xludf.DUMMYFUNCTION("""COMPUTED_VALUE"""),"https://www.sec.gov/cgi-bin/browse-edgar?CIK=1843080")</f>
        <v>https://www.sec.gov/cgi-bin/browse-edgar?CIK=1843080</v>
      </c>
      <c r="V132" s="72" t="str">
        <f>IFERROR(__xludf.DUMMYFUNCTION("""COMPUTED_VALUE"""),"            ")</f>
        <v>            </v>
      </c>
      <c r="W132" s="73"/>
      <c r="X132" s="74"/>
      <c r="Y132" s="75"/>
      <c r="Z132" s="60"/>
      <c r="AA132" s="60"/>
      <c r="AB132" s="60"/>
      <c r="AC132" s="60"/>
      <c r="AD132" s="73"/>
      <c r="AE132" s="73"/>
      <c r="AF132" s="76"/>
      <c r="AG132" s="60"/>
    </row>
    <row r="133">
      <c r="A133" s="54" t="str">
        <f>IFERROR(__xludf.DUMMYFUNCTION("""COMPUTED_VALUE"""),"CAP")</f>
        <v>CAP</v>
      </c>
      <c r="B133" s="55" t="str">
        <f>IFERROR(__xludf.DUMMYFUNCTION("""COMPUTED_VALUE"""),"Capitol Investment Corp. V")</f>
        <v>Capitol Investment Corp. V</v>
      </c>
      <c r="C133" s="56" t="str">
        <f>IFERROR(__xludf.DUMMYFUNCTION("""COMPUTED_VALUE"""),"Definitive Agreement")</f>
        <v>Definitive Agreement</v>
      </c>
      <c r="D133" s="57"/>
      <c r="E133" s="58" t="str">
        <f>IFERROR(__xludf.DUMMYFUNCTION("""COMPUTED_VALUE"""),"Doma [DA: 03/02/21]")</f>
        <v>Doma [DA: 03/02/21]</v>
      </c>
      <c r="F133" s="59" t="str">
        <f>IFERROR(__xludf.DUMMYFUNCTION("""COMPUTED_VALUE"""),"Mark Ein and Dyson Dryden, Raul Fernandez (Vice Chair, Moumental Sports &amp; Entertainment), Tad Smith, Jr. (Fmr CEO, Sotheby's)")</f>
        <v>Mark Ein and Dyson Dryden, Raul Fernandez (Vice Chair, Moumental Sports &amp; Entertainment), Tad Smith, Jr. (Fmr CEO, Sotheby's)</v>
      </c>
      <c r="G133" s="60">
        <f>IFERROR(__xludf.DUMMYFUNCTION("""COMPUTED_VALUE"""),3.4501258E8)</f>
        <v>345012580</v>
      </c>
      <c r="H133" s="60">
        <f>IFERROR(__xludf.DUMMYFUNCTION("""COMPUTED_VALUE"""),3.4431E8)</f>
        <v>344310000</v>
      </c>
      <c r="I133" s="61">
        <f>IFERROR(__xludf.DUMMYFUNCTION("""COMPUTED_VALUE"""),9.98)</f>
        <v>9.98</v>
      </c>
      <c r="J133" s="62">
        <f>IFERROR(__xludf.DUMMYFUNCTION("""COMPUTED_VALUE"""),0.00201)</f>
        <v>0.00201</v>
      </c>
      <c r="K133" s="59">
        <f>IFERROR(__xludf.DUMMYFUNCTION("""COMPUTED_VALUE"""),10.38)</f>
        <v>10.38</v>
      </c>
      <c r="L133" s="63">
        <f>IFERROR(__xludf.DUMMYFUNCTION("""COMPUTED_VALUE"""),1.31)</f>
        <v>1.31</v>
      </c>
      <c r="M133" s="64" t="str">
        <f>IFERROR(__xludf.DUMMYFUNCTION("""COMPUTED_VALUE"""),"U: [1/3 W]; W: [1:1, $11.5]")</f>
        <v>U: [1/3 W]; W: [1:1, $11.5]</v>
      </c>
      <c r="N133" s="65" t="str">
        <f>IFERROR(__xludf.DUMMYFUNCTION("""COMPUTED_VALUE"""),"")</f>
        <v/>
      </c>
      <c r="O133" s="66">
        <f>IFERROR(__xludf.DUMMYFUNCTION("""COMPUTED_VALUE"""),0.0)</f>
        <v>0</v>
      </c>
      <c r="P133" s="67">
        <f>IFERROR(__xludf.DUMMYFUNCTION("""COMPUTED_VALUE"""),44167.0)</f>
        <v>44167</v>
      </c>
      <c r="Q133" s="68">
        <f>IFERROR(__xludf.DUMMYFUNCTION("""COMPUTED_VALUE"""),345.0)</f>
        <v>345</v>
      </c>
      <c r="R133" s="69" t="str">
        <f>IFERROR(__xludf.DUMMYFUNCTION("""COMPUTED_VALUE"""),"Citigroup, Deutsche Bank, Morgan Stanley")</f>
        <v>Citigroup, Deutsche Bank, Morgan Stanley</v>
      </c>
      <c r="S133" s="64">
        <f>IFERROR(__xludf.DUMMYFUNCTION("""COMPUTED_VALUE"""),44897.0)</f>
        <v>44897</v>
      </c>
      <c r="T133" s="70">
        <f>IFERROR(__xludf.DUMMYFUNCTION("""COMPUTED_VALUE"""),0.17671232876712328)</f>
        <v>0.1767123288</v>
      </c>
      <c r="U133" s="71" t="str">
        <f>IFERROR(__xludf.DUMMYFUNCTION("""COMPUTED_VALUE"""),"https://www.sec.gov/cgi-bin/browse-edgar?CIK=1722438")</f>
        <v>https://www.sec.gov/cgi-bin/browse-edgar?CIK=1722438</v>
      </c>
      <c r="V133" s="72" t="str">
        <f>IFERROR(__xludf.DUMMYFUNCTION("""COMPUTED_VALUE""")," Trading Below $10 (Common)          Top Tier UW ")</f>
        <v> Trading Below $10 (Common)          Top Tier UW </v>
      </c>
      <c r="W133" s="73">
        <f>IFERROR(__xludf.DUMMYFUNCTION("""COMPUTED_VALUE"""),44257.0)</f>
        <v>44257</v>
      </c>
      <c r="X133" s="79">
        <f>IFERROR(__xludf.DUMMYFUNCTION("""COMPUTED_VALUE"""),3.0)</f>
        <v>3</v>
      </c>
      <c r="Y133" s="80" t="str">
        <f>IFERROR(__xludf.DUMMYFUNCTION("""COMPUTED_VALUE"""),"https://www.businesswire.com/news/home/20210302006159/en/Doma-a-Leading-Force-for-Disruptive-Change-in-the-Residential-Real-Estate-Industry-Announces-Plans-to-Become-Publicly-Traded-via-Merger-with-Capitol-Investment-Corp.-V")</f>
        <v>https://www.businesswire.com/news/home/20210302006159/en/Doma-a-Leading-Force-for-Disruptive-Change-in-the-Residential-Real-Estate-Industry-Announces-Plans-to-Become-Publicly-Traded-via-Merger-with-Capitol-Investment-Corp.-V</v>
      </c>
      <c r="Z133" s="81" t="str">
        <f>IFERROR(__xludf.DUMMYFUNCTION("""COMPUTED_VALUE"""),"https://www.sec.gov/Archives/edgar/data/1722438/000121390021013067/ea136901ex99-2_capitol5.htm")</f>
        <v>https://www.sec.gov/Archives/edgar/data/1722438/000121390021013067/ea136901ex99-2_capitol5.htm</v>
      </c>
      <c r="AA133" s="60">
        <f>IFERROR(__xludf.DUMMYFUNCTION("""COMPUTED_VALUE"""),3.0E8)</f>
        <v>300000000</v>
      </c>
      <c r="AB133" s="60">
        <f>IFERROR(__xludf.DUMMYFUNCTION("""COMPUTED_VALUE"""),3.55E9)</f>
        <v>3550000000</v>
      </c>
      <c r="AC133" s="60">
        <f>IFERROR(__xludf.DUMMYFUNCTION("""COMPUTED_VALUE"""),3.03E9)</f>
        <v>3030000000</v>
      </c>
      <c r="AD133" s="73"/>
      <c r="AE133" s="73"/>
      <c r="AF133" s="76">
        <f>IFERROR(__xludf.DUMMYFUNCTION("""COMPUTED_VALUE"""),3.55E8)</f>
        <v>355000000</v>
      </c>
      <c r="AG133" s="60">
        <f>IFERROR(__xludf.DUMMYFUNCTION("""COMPUTED_VALUE"""),3.5429E9)</f>
        <v>3542900000</v>
      </c>
    </row>
    <row r="134">
      <c r="A134" s="54" t="str">
        <f>IFERROR(__xludf.DUMMYFUNCTION("""COMPUTED_VALUE"""),"CAPA")</f>
        <v>CAPA</v>
      </c>
      <c r="B134" s="55" t="str">
        <f>IFERROR(__xludf.DUMMYFUNCTION("""COMPUTED_VALUE"""),"HighCape Capital Acquisition Corp.")</f>
        <v>HighCape Capital Acquisition Corp.</v>
      </c>
      <c r="C134" s="56" t="str">
        <f>IFERROR(__xludf.DUMMYFUNCTION("""COMPUTED_VALUE"""),"Definitive Agreement")</f>
        <v>Definitive Agreement</v>
      </c>
      <c r="D134" s="57" t="str">
        <f>IFERROR(__xludf.DUMMYFUNCTION("""COMPUTED_VALUE"""),"Life Sciences, Healthcare")</f>
        <v>Life Sciences, Healthcare</v>
      </c>
      <c r="E134" s="58" t="str">
        <f>IFERROR(__xludf.DUMMYFUNCTION("""COMPUTED_VALUE"""),"Quantum-Si [DA: 02/18/21]")</f>
        <v>Quantum-Si [DA: 02/18/21]</v>
      </c>
      <c r="F134" s="59" t="str">
        <f>IFERROR(__xludf.DUMMYFUNCTION("""COMPUTED_VALUE"""),"Kevin Rakin (Partner High Cape Capital, Former CEO of BioHealing)")</f>
        <v>Kevin Rakin (Partner High Cape Capital, Former CEO of BioHealing)</v>
      </c>
      <c r="G134" s="60">
        <f>IFERROR(__xludf.DUMMYFUNCTION("""COMPUTED_VALUE"""),1.15002152E8)</f>
        <v>115002152</v>
      </c>
      <c r="H134" s="60">
        <f>IFERROR(__xludf.DUMMYFUNCTION("""COMPUTED_VALUE"""),1.395266E8)</f>
        <v>139526600</v>
      </c>
      <c r="I134" s="61">
        <f>IFERROR(__xludf.DUMMYFUNCTION("""COMPUTED_VALUE"""),11.72)</f>
        <v>11.72</v>
      </c>
      <c r="J134" s="62">
        <f>IFERROR(__xludf.DUMMYFUNCTION("""COMPUTED_VALUE"""),-0.0034)</f>
        <v>-0.0034</v>
      </c>
      <c r="K134" s="59">
        <f>IFERROR(__xludf.DUMMYFUNCTION("""COMPUTED_VALUE"""),12.9)</f>
        <v>12.9</v>
      </c>
      <c r="L134" s="63">
        <f>IFERROR(__xludf.DUMMYFUNCTION("""COMPUTED_VALUE"""),3.6199)</f>
        <v>3.6199</v>
      </c>
      <c r="M134" s="64" t="str">
        <f>IFERROR(__xludf.DUMMYFUNCTION("""COMPUTED_VALUE"""),"U: [1/3 W]; W: [1:1, $11.5]")</f>
        <v>U: [1/3 W]; W: [1:1, $11.5]</v>
      </c>
      <c r="N134" s="65" t="str">
        <f>IFERROR(__xludf.DUMMYFUNCTION("""COMPUTED_VALUE"""),"")</f>
        <v/>
      </c>
      <c r="O134" s="66">
        <f>IFERROR(__xludf.DUMMYFUNCTION("""COMPUTED_VALUE"""),0.22000000000000064)</f>
        <v>0.22</v>
      </c>
      <c r="P134" s="67">
        <f>IFERROR(__xludf.DUMMYFUNCTION("""COMPUTED_VALUE"""),44077.0)</f>
        <v>44077</v>
      </c>
      <c r="Q134" s="68">
        <f>IFERROR(__xludf.DUMMYFUNCTION("""COMPUTED_VALUE"""),115.0)</f>
        <v>115</v>
      </c>
      <c r="R134" s="69" t="str">
        <f>IFERROR(__xludf.DUMMYFUNCTION("""COMPUTED_VALUE"""),"Cantor")</f>
        <v>Cantor</v>
      </c>
      <c r="S134" s="64">
        <f>IFERROR(__xludf.DUMMYFUNCTION("""COMPUTED_VALUE"""),44624.5)</f>
        <v>44624.5</v>
      </c>
      <c r="T134" s="70">
        <f>IFERROR(__xludf.DUMMYFUNCTION("""COMPUTED_VALUE"""),0.4)</f>
        <v>0.4</v>
      </c>
      <c r="U134" s="71" t="str">
        <f>IFERROR(__xludf.DUMMYFUNCTION("""COMPUTED_VALUE"""),"https://www.sec.gov/cgi-bin/browse-edgar?CIK=1816431")</f>
        <v>https://www.sec.gov/cgi-bin/browse-edgar?CIK=1816431</v>
      </c>
      <c r="V134" s="72" t="str">
        <f>IFERROR(__xludf.DUMMYFUNCTION("""COMPUTED_VALUE"""),"Venture Capital     Optionable       ")</f>
        <v>Venture Capital     Optionable       </v>
      </c>
      <c r="W134" s="73">
        <f>IFERROR(__xludf.DUMMYFUNCTION("""COMPUTED_VALUE"""),44245.0)</f>
        <v>44245</v>
      </c>
      <c r="X134" s="79">
        <f>IFERROR(__xludf.DUMMYFUNCTION("""COMPUTED_VALUE"""),5.6)</f>
        <v>5.6</v>
      </c>
      <c r="Y134" s="80" t="str">
        <f>IFERROR(__xludf.DUMMYFUNCTION("""COMPUTED_VALUE"""),"https://www.globenewswire.com/news-release/2021/02/18/2177804/0/en/Quantum-Si-a-Pioneer-in-Semiconductor-Chip-Based-Proteomics-to-Combine-with-HighCape-Capital-Acquisition-Corp.html")</f>
        <v>https://www.globenewswire.com/news-release/2021/02/18/2177804/0/en/Quantum-Si-a-Pioneer-in-Semiconductor-Chip-Based-Proteomics-to-Combine-with-HighCape-Capital-Acquisition-Corp.html</v>
      </c>
      <c r="Z134" s="81" t="str">
        <f>IFERROR(__xludf.DUMMYFUNCTION("""COMPUTED_VALUE"""),"https://www.sec.gov/Archives/edgar/data/1816431/000110465921025083/tm217111d1_ex99-2.htm")</f>
        <v>https://www.sec.gov/Archives/edgar/data/1816431/000110465921025083/tm217111d1_ex99-2.htm</v>
      </c>
      <c r="AA134" s="60">
        <f>IFERROR(__xludf.DUMMYFUNCTION("""COMPUTED_VALUE"""),4.25E8)</f>
        <v>425000000</v>
      </c>
      <c r="AB134" s="60">
        <f>IFERROR(__xludf.DUMMYFUNCTION("""COMPUTED_VALUE"""),1.4607E9)</f>
        <v>1460700000</v>
      </c>
      <c r="AC134" s="60">
        <f>IFERROR(__xludf.DUMMYFUNCTION("""COMPUTED_VALUE"""),9.245E8)</f>
        <v>924500000</v>
      </c>
      <c r="AD134" s="73"/>
      <c r="AE134" s="73"/>
      <c r="AF134" s="76">
        <f>IFERROR(__xludf.DUMMYFUNCTION("""COMPUTED_VALUE"""),1.4607E8)</f>
        <v>146070000</v>
      </c>
      <c r="AG134" s="60">
        <f>IFERROR(__xludf.DUMMYFUNCTION("""COMPUTED_VALUE"""),1.7119404E9)</f>
        <v>1711940400</v>
      </c>
    </row>
    <row r="135">
      <c r="A135" s="54" t="str">
        <f>IFERROR(__xludf.DUMMYFUNCTION("""COMPUTED_VALUE"""),"CAS")</f>
        <v>CAS</v>
      </c>
      <c r="B135" s="55" t="str">
        <f>IFERROR(__xludf.DUMMYFUNCTION("""COMPUTED_VALUE"""),"Cascade Acquisition Corp.")</f>
        <v>Cascade Acquisition Corp.</v>
      </c>
      <c r="C135" s="56" t="str">
        <f>IFERROR(__xludf.DUMMYFUNCTION("""COMPUTED_VALUE"""),"Searching")</f>
        <v>Searching</v>
      </c>
      <c r="D135" s="57" t="str">
        <f>IFERROR(__xludf.DUMMYFUNCTION("""COMPUTED_VALUE"""),"Financial Services")</f>
        <v>Financial Services</v>
      </c>
      <c r="E135" s="58"/>
      <c r="F135" s="59" t="str">
        <f>IFERROR(__xludf.DUMMYFUNCTION("""COMPUTED_VALUE"""),"Jay Levine (Chairman, OneMain Financial)")</f>
        <v>Jay Levine (Chairman, OneMain Financial)</v>
      </c>
      <c r="G135" s="60">
        <f>IFERROR(__xludf.DUMMYFUNCTION("""COMPUTED_VALUE"""),2.02E8)</f>
        <v>202000000</v>
      </c>
      <c r="H135" s="60">
        <f>IFERROR(__xludf.DUMMYFUNCTION("""COMPUTED_VALUE"""),2.3023E8)</f>
        <v>230230000</v>
      </c>
      <c r="I135" s="61">
        <f>IFERROR(__xludf.DUMMYFUNCTION("""COMPUTED_VALUE"""),10.01)</f>
        <v>10.01</v>
      </c>
      <c r="J135" s="62">
        <f>IFERROR(__xludf.DUMMYFUNCTION("""COMPUTED_VALUE"""),0.00401)</f>
        <v>0.00401</v>
      </c>
      <c r="K135" s="59">
        <f>IFERROR(__xludf.DUMMYFUNCTION("""COMPUTED_VALUE"""),10.41)</f>
        <v>10.41</v>
      </c>
      <c r="L135" s="63">
        <f>IFERROR(__xludf.DUMMYFUNCTION("""COMPUTED_VALUE"""),0.92)</f>
        <v>0.92</v>
      </c>
      <c r="M135" s="64" t="str">
        <f>IFERROR(__xludf.DUMMYFUNCTION("""COMPUTED_VALUE"""),"U: [1/2 W]; W: [1:1, $11.5]")</f>
        <v>U: [1/2 W]; W: [1:1, $11.5]</v>
      </c>
      <c r="N135" s="65" t="str">
        <f>IFERROR(__xludf.DUMMYFUNCTION("""COMPUTED_VALUE"""),"")</f>
        <v/>
      </c>
      <c r="O135" s="66">
        <f>IFERROR(__xludf.DUMMYFUNCTION("""COMPUTED_VALUE"""),0.0)</f>
        <v>0</v>
      </c>
      <c r="P135" s="67">
        <f>IFERROR(__xludf.DUMMYFUNCTION("""COMPUTED_VALUE"""),44155.0)</f>
        <v>44155</v>
      </c>
      <c r="Q135" s="68">
        <f>IFERROR(__xludf.DUMMYFUNCTION("""COMPUTED_VALUE"""),202.0)</f>
        <v>202</v>
      </c>
      <c r="R135" s="69" t="str">
        <f>IFERROR(__xludf.DUMMYFUNCTION("""COMPUTED_VALUE"""),"Credit Suisse, Morgan Stanley, Keefe, Bruyette &amp; Woods")</f>
        <v>Credit Suisse, Morgan Stanley, Keefe, Bruyette &amp; Woods</v>
      </c>
      <c r="S135" s="64">
        <f>IFERROR(__xludf.DUMMYFUNCTION("""COMPUTED_VALUE"""),44885.0)</f>
        <v>44885</v>
      </c>
      <c r="T135" s="70">
        <f>IFERROR(__xludf.DUMMYFUNCTION("""COMPUTED_VALUE"""),0.19315068493150686)</f>
        <v>0.1931506849</v>
      </c>
      <c r="U135" s="71" t="str">
        <f>IFERROR(__xludf.DUMMYFUNCTION("""COMPUTED_VALUE"""),"https://www.sec.gov/cgi-bin/browse-edgar?CIK=1822309")</f>
        <v>https://www.sec.gov/cgi-bin/browse-edgar?CIK=1822309</v>
      </c>
      <c r="V135" s="72" t="str">
        <f>IFERROR(__xludf.DUMMYFUNCTION("""COMPUTED_VALUE"""),"           Top Tier UW ")</f>
        <v>           Top Tier UW </v>
      </c>
      <c r="W135" s="73"/>
      <c r="X135" s="74"/>
      <c r="Y135" s="75"/>
      <c r="Z135" s="60"/>
      <c r="AA135" s="60"/>
      <c r="AB135" s="60"/>
      <c r="AC135" s="60"/>
      <c r="AD135" s="73"/>
      <c r="AE135" s="73"/>
      <c r="AF135" s="76"/>
      <c r="AG135" s="60" t="str">
        <f>IFERROR(__xludf.DUMMYFUNCTION("""COMPUTED_VALUE"""),"")</f>
        <v/>
      </c>
    </row>
    <row r="136">
      <c r="A136" s="54" t="str">
        <f>IFERROR(__xludf.DUMMYFUNCTION("""COMPUTED_VALUE"""),"CATL")</f>
        <v>CATL</v>
      </c>
      <c r="B136" s="55" t="str">
        <f>IFERROR(__xludf.DUMMYFUNCTION("""COMPUTED_VALUE"""),"Category Leader Partner Corp 1")</f>
        <v>Category Leader Partner Corp 1</v>
      </c>
      <c r="C136" s="56" t="str">
        <f>IFERROR(__xludf.DUMMYFUNCTION("""COMPUTED_VALUE"""),"Pre IPO")</f>
        <v>Pre IPO</v>
      </c>
      <c r="D136" s="77" t="str">
        <f>IFERROR(__xludf.DUMMYFUNCTION("""COMPUTED_VALUE"""),"B2B software")</f>
        <v>B2B software</v>
      </c>
      <c r="E136" s="58"/>
      <c r="F136" s="59" t="str">
        <f>IFERROR(__xludf.DUMMYFUNCTION("""COMPUTED_VALUE"""),"Richard Lowenthal (Founder, Director, &amp; Former CEO of ChargePoint), Taher Elgamal (CTO of Security at Salesforce and “recognized as the Father of SSL encryption”), Susan Siegel (Former Chief Innovation Officer at GE, Former CEO of GE Ventures, and Directo"&amp;"r of Illumina)")</f>
        <v>Richard Lowenthal (Founder, Director, &amp; Former CEO of ChargePoint), Taher Elgamal (CTO of Security at Salesforce and “recognized as the Father of SSL encryption”), Susan Siegel (Former Chief Innovation Officer at GE, Former CEO of GE Ventures, and Director of Illumina)</v>
      </c>
      <c r="G136" s="60">
        <f>IFERROR(__xludf.DUMMYFUNCTION("""COMPUTED_VALUE"""),2.0E8)</f>
        <v>200000000</v>
      </c>
      <c r="H136" s="60" t="str">
        <f>IFERROR(__xludf.DUMMYFUNCTION("""COMPUTED_VALUE""")," ")</f>
        <v> </v>
      </c>
      <c r="I136" s="61" t="str">
        <f>IFERROR(__xludf.DUMMYFUNCTION("""COMPUTED_VALUE""")," ")</f>
        <v> </v>
      </c>
      <c r="J136" s="62" t="str">
        <f>IFERROR(__xludf.DUMMYFUNCTION("""COMPUTED_VALUE""")," ")</f>
        <v> </v>
      </c>
      <c r="K136" s="59" t="str">
        <f>IFERROR(__xludf.DUMMYFUNCTION("""COMPUTED_VALUE""")," ")</f>
        <v> </v>
      </c>
      <c r="L136" s="63" t="str">
        <f>IFERROR(__xludf.DUMMYFUNCTION("""COMPUTED_VALUE""")," ")</f>
        <v> </v>
      </c>
      <c r="M136" s="64" t="str">
        <f>IFERROR(__xludf.DUMMYFUNCTION("""COMPUTED_VALUE"""),"U: [1/2 W]; W: [1:1, $11.5]")</f>
        <v>U: [1/2 W]; W: [1:1, $11.5]</v>
      </c>
      <c r="N136" s="65" t="str">
        <f>IFERROR(__xludf.DUMMYFUNCTION("""COMPUTED_VALUE"""),"")</f>
        <v/>
      </c>
      <c r="O136" s="66">
        <f>IFERROR(__xludf.DUMMYFUNCTION("""COMPUTED_VALUE"""),0.0)</f>
        <v>0</v>
      </c>
      <c r="P136" s="67"/>
      <c r="Q136" s="68">
        <f>IFERROR(__xludf.DUMMYFUNCTION("""COMPUTED_VALUE"""),200.0)</f>
        <v>200</v>
      </c>
      <c r="R136" s="69" t="str">
        <f>IFERROR(__xludf.DUMMYFUNCTION("""COMPUTED_VALUE"""),"Citigroup")</f>
        <v>Citigroup</v>
      </c>
      <c r="S136" s="64">
        <f>IFERROR(__xludf.DUMMYFUNCTION("""COMPUTED_VALUE"""),45086.0)</f>
        <v>45086</v>
      </c>
      <c r="T136" s="70" t="str">
        <f>IFERROR(__xludf.DUMMYFUNCTION("""COMPUTED_VALUE"""),"")</f>
        <v/>
      </c>
      <c r="U136" s="71" t="str">
        <f>IFERROR(__xludf.DUMMYFUNCTION("""COMPUTED_VALUE"""),"https://www.sec.gov/cgi-bin/browse-edgar?CIK=1846470")</f>
        <v>https://www.sec.gov/cgi-bin/browse-edgar?CIK=1846470</v>
      </c>
      <c r="V136" s="72" t="str">
        <f>IFERROR(__xludf.DUMMYFUNCTION("""COMPUTED_VALUE"""),"           Top Tier UW ")</f>
        <v>           Top Tier UW </v>
      </c>
      <c r="W136" s="73"/>
      <c r="X136" s="74"/>
      <c r="Y136" s="75"/>
      <c r="Z136" s="60"/>
      <c r="AA136" s="60"/>
      <c r="AB136" s="60"/>
      <c r="AC136" s="60"/>
      <c r="AD136" s="73"/>
      <c r="AE136" s="73"/>
      <c r="AF136" s="76"/>
      <c r="AG136" s="60"/>
    </row>
    <row r="137">
      <c r="A137" s="54" t="str">
        <f>IFERROR(__xludf.DUMMYFUNCTION("""COMPUTED_VALUE"""),"CAVU")</f>
        <v>CAVU</v>
      </c>
      <c r="B137" s="55" t="str">
        <f>IFERROR(__xludf.DUMMYFUNCTION("""COMPUTED_VALUE"""),"CAVU Technology Acquisition Corp.")</f>
        <v>CAVU Technology Acquisition Corp.</v>
      </c>
      <c r="C137" s="56" t="str">
        <f>IFERROR(__xludf.DUMMYFUNCTION("""COMPUTED_VALUE"""),"Pre IPO")</f>
        <v>Pre IPO</v>
      </c>
      <c r="D137" s="77" t="str">
        <f>IFERROR(__xludf.DUMMYFUNCTION("""COMPUTED_VALUE"""),"Tech, including in IT services, Software, SaaS, and Digital Transformation")</f>
        <v>Tech, including in IT services, Software, SaaS, and Digital Transformation</v>
      </c>
      <c r="E137" s="58"/>
      <c r="F137" s="59" t="str">
        <f>IFERROR(__xludf.DUMMYFUNCTION("""COMPUTED_VALUE"""),"Barry Shevlin (Former CEO of Vology) ")</f>
        <v>Barry Shevlin (Former CEO of Vology) </v>
      </c>
      <c r="G137" s="60">
        <f>IFERROR(__xludf.DUMMYFUNCTION("""COMPUTED_VALUE"""),1.0E8)</f>
        <v>100000000</v>
      </c>
      <c r="H137" s="60" t="str">
        <f>IFERROR(__xludf.DUMMYFUNCTION("""COMPUTED_VALUE""")," ")</f>
        <v> </v>
      </c>
      <c r="I137" s="61" t="str">
        <f>IFERROR(__xludf.DUMMYFUNCTION("""COMPUTED_VALUE""")," ")</f>
        <v> </v>
      </c>
      <c r="J137" s="62" t="str">
        <f>IFERROR(__xludf.DUMMYFUNCTION("""COMPUTED_VALUE""")," ")</f>
        <v> </v>
      </c>
      <c r="K137" s="59" t="str">
        <f>IFERROR(__xludf.DUMMYFUNCTION("""COMPUTED_VALUE""")," ")</f>
        <v> </v>
      </c>
      <c r="L137" s="63" t="str">
        <f>IFERROR(__xludf.DUMMYFUNCTION("""COMPUTED_VALUE""")," ")</f>
        <v> </v>
      </c>
      <c r="M137" s="64" t="str">
        <f>IFERROR(__xludf.DUMMYFUNCTION("""COMPUTED_VALUE"""),"U: [1/2 W]; W: [1:1, $11.5]")</f>
        <v>U: [1/2 W]; W: [1:1, $11.5]</v>
      </c>
      <c r="N137" s="65" t="str">
        <f>IFERROR(__xludf.DUMMYFUNCTION("""COMPUTED_VALUE"""),"")</f>
        <v/>
      </c>
      <c r="O137" s="66">
        <f>IFERROR(__xludf.DUMMYFUNCTION("""COMPUTED_VALUE"""),0.0)</f>
        <v>0</v>
      </c>
      <c r="P137" s="67"/>
      <c r="Q137" s="68">
        <f>IFERROR(__xludf.DUMMYFUNCTION("""COMPUTED_VALUE"""),100.0)</f>
        <v>100</v>
      </c>
      <c r="R137" s="69" t="str">
        <f>IFERROR(__xludf.DUMMYFUNCTION("""COMPUTED_VALUE"""),"Maxim Group LLC")</f>
        <v>Maxim Group LLC</v>
      </c>
      <c r="S137" s="64">
        <f>IFERROR(__xludf.DUMMYFUNCTION("""COMPUTED_VALUE"""),45086.0)</f>
        <v>45086</v>
      </c>
      <c r="T137" s="70" t="str">
        <f>IFERROR(__xludf.DUMMYFUNCTION("""COMPUTED_VALUE"""),"")</f>
        <v/>
      </c>
      <c r="U137" s="71" t="str">
        <f>IFERROR(__xludf.DUMMYFUNCTION("""COMPUTED_VALUE"""),"https://www.sec.gov/cgi-bin/browse-edgar?CIK=1850830")</f>
        <v>https://www.sec.gov/cgi-bin/browse-edgar?CIK=1850830</v>
      </c>
      <c r="V137" s="72" t="str">
        <f>IFERROR(__xludf.DUMMYFUNCTION("""COMPUTED_VALUE"""),"            ")</f>
        <v>            </v>
      </c>
      <c r="W137" s="73"/>
      <c r="X137" s="74"/>
      <c r="Y137" s="75"/>
      <c r="Z137" s="60"/>
      <c r="AA137" s="60"/>
      <c r="AB137" s="60"/>
      <c r="AC137" s="60"/>
      <c r="AD137" s="73"/>
      <c r="AE137" s="73"/>
      <c r="AF137" s="76"/>
      <c r="AG137" s="60"/>
    </row>
    <row r="138">
      <c r="A138" s="54" t="str">
        <f>IFERROR(__xludf.DUMMYFUNCTION("""COMPUTED_VALUE"""),"CBAH")</f>
        <v>CBAH</v>
      </c>
      <c r="B138" s="55" t="str">
        <f>IFERROR(__xludf.DUMMYFUNCTION("""COMPUTED_VALUE"""),"CBRE Acquisition Holdings, Inc.")</f>
        <v>CBRE Acquisition Holdings, Inc.</v>
      </c>
      <c r="C138" s="56" t="str">
        <f>IFERROR(__xludf.DUMMYFUNCTION("""COMPUTED_VALUE"""),"Searching")</f>
        <v>Searching</v>
      </c>
      <c r="D138" s="57"/>
      <c r="E138" s="58"/>
      <c r="F138" s="59" t="str">
        <f>IFERROR(__xludf.DUMMYFUNCTION("""COMPUTED_VALUE"""),"Robert Sulentic (CEO, CBRE Group), Jamie Hodari (Co-founder/CEO, Industrious)")</f>
        <v>Robert Sulentic (CEO, CBRE Group), Jamie Hodari (Co-founder/CEO, Industrious)</v>
      </c>
      <c r="G138" s="60">
        <f>IFERROR(__xludf.DUMMYFUNCTION("""COMPUTED_VALUE"""),4.025E8)</f>
        <v>402500000</v>
      </c>
      <c r="H138" s="60">
        <f>IFERROR(__xludf.DUMMYFUNCTION("""COMPUTED_VALUE"""),4.041422E8)</f>
        <v>404142200</v>
      </c>
      <c r="I138" s="61">
        <f>IFERROR(__xludf.DUMMYFUNCTION("""COMPUTED_VALUE"""),10.0408)</f>
        <v>10.0408</v>
      </c>
      <c r="J138" s="62">
        <f>IFERROR(__xludf.DUMMYFUNCTION("""COMPUTED_VALUE"""),0.00509)</f>
        <v>0.00509</v>
      </c>
      <c r="K138" s="59">
        <f>IFERROR(__xludf.DUMMYFUNCTION("""COMPUTED_VALUE"""),10.25)</f>
        <v>10.25</v>
      </c>
      <c r="L138" s="63">
        <f>IFERROR(__xludf.DUMMYFUNCTION("""COMPUTED_VALUE"""),0.9996)</f>
        <v>0.9996</v>
      </c>
      <c r="M138" s="64" t="str">
        <f>IFERROR(__xludf.DUMMYFUNCTION("""COMPUTED_VALUE"""),"U: [1/4 W]; W: [1:1, $11]")</f>
        <v>U: [1/4 W]; W: [1:1, $11]</v>
      </c>
      <c r="N138" s="65" t="str">
        <f>IFERROR(__xludf.DUMMYFUNCTION("""COMPUTED_VALUE"""),"")</f>
        <v/>
      </c>
      <c r="O138" s="66">
        <f>IFERROR(__xludf.DUMMYFUNCTION("""COMPUTED_VALUE"""),0.0)</f>
        <v>0</v>
      </c>
      <c r="P138" s="67">
        <f>IFERROR(__xludf.DUMMYFUNCTION("""COMPUTED_VALUE"""),44175.0)</f>
        <v>44175</v>
      </c>
      <c r="Q138" s="68">
        <f>IFERROR(__xludf.DUMMYFUNCTION("""COMPUTED_VALUE"""),402.5)</f>
        <v>402.5</v>
      </c>
      <c r="R138" s="69" t="str">
        <f>IFERROR(__xludf.DUMMYFUNCTION("""COMPUTED_VALUE"""),"Morgan Stanley")</f>
        <v>Morgan Stanley</v>
      </c>
      <c r="S138" s="64">
        <f>IFERROR(__xludf.DUMMYFUNCTION("""COMPUTED_VALUE"""),44905.0)</f>
        <v>44905</v>
      </c>
      <c r="T138" s="70">
        <f>IFERROR(__xludf.DUMMYFUNCTION("""COMPUTED_VALUE"""),0.16575342465753426)</f>
        <v>0.1657534247</v>
      </c>
      <c r="U138" s="71" t="str">
        <f>IFERROR(__xludf.DUMMYFUNCTION("""COMPUTED_VALUE"""),"https://www.sec.gov/cgi-bin/browse-edgar?CIK=1828723")</f>
        <v>https://www.sec.gov/cgi-bin/browse-edgar?CIK=1828723</v>
      </c>
      <c r="V138" s="72" t="str">
        <f>IFERROR(__xludf.DUMMYFUNCTION("""COMPUTED_VALUE"""),"         Well-known Sponsor  Top Tier UW ")</f>
        <v>         Well-known Sponsor  Top Tier UW </v>
      </c>
      <c r="W138" s="73"/>
      <c r="X138" s="74"/>
      <c r="Y138" s="75"/>
      <c r="Z138" s="60"/>
      <c r="AA138" s="60"/>
      <c r="AB138" s="60"/>
      <c r="AC138" s="60"/>
      <c r="AD138" s="73"/>
      <c r="AE138" s="73"/>
      <c r="AF138" s="76"/>
      <c r="AG138" s="60" t="str">
        <f>IFERROR(__xludf.DUMMYFUNCTION("""COMPUTED_VALUE"""),"")</f>
        <v/>
      </c>
    </row>
    <row r="139">
      <c r="A139" s="54" t="str">
        <f>IFERROR(__xludf.DUMMYFUNCTION("""COMPUTED_VALUE"""),"CBRG")</f>
        <v>CBRG</v>
      </c>
      <c r="B139" s="55" t="str">
        <f>IFERROR(__xludf.DUMMYFUNCTION("""COMPUTED_VALUE"""),"Chain Bridge I")</f>
        <v>Chain Bridge I</v>
      </c>
      <c r="C139" s="56" t="str">
        <f>IFERROR(__xludf.DUMMYFUNCTION("""COMPUTED_VALUE"""),"Pre IPO")</f>
        <v>Pre IPO</v>
      </c>
      <c r="D139" s="77" t="str">
        <f>IFERROR(__xludf.DUMMYFUNCTION("""COMPUTED_VALUE"""),"National Security Tech")</f>
        <v>National Security Tech</v>
      </c>
      <c r="E139" s="58"/>
      <c r="F139" s="59" t="str">
        <f>IFERROR(__xludf.DUMMYFUNCTION("""COMPUTED_VALUE"""),"Christopher Darby (CEO of IQT), Michael Morell (Former Deputy Director of the CIA), Letitia Long (Former Director of the National Geospatial-Intelligence Agency and Former Director of Raytheon)")</f>
        <v>Christopher Darby (CEO of IQT), Michael Morell (Former Deputy Director of the CIA), Letitia Long (Former Director of the National Geospatial-Intelligence Agency and Former Director of Raytheon)</v>
      </c>
      <c r="G139" s="60">
        <f>IFERROR(__xludf.DUMMYFUNCTION("""COMPUTED_VALUE"""),3.0E8)</f>
        <v>300000000</v>
      </c>
      <c r="H139" s="60" t="str">
        <f>IFERROR(__xludf.DUMMYFUNCTION("""COMPUTED_VALUE""")," ")</f>
        <v> </v>
      </c>
      <c r="I139" s="61" t="str">
        <f>IFERROR(__xludf.DUMMYFUNCTION("""COMPUTED_VALUE""")," ")</f>
        <v> </v>
      </c>
      <c r="J139" s="62" t="str">
        <f>IFERROR(__xludf.DUMMYFUNCTION("""COMPUTED_VALUE""")," ")</f>
        <v> </v>
      </c>
      <c r="K139" s="59" t="str">
        <f>IFERROR(__xludf.DUMMYFUNCTION("""COMPUTED_VALUE""")," ")</f>
        <v> </v>
      </c>
      <c r="L139" s="63" t="str">
        <f>IFERROR(__xludf.DUMMYFUNCTION("""COMPUTED_VALUE""")," ")</f>
        <v> </v>
      </c>
      <c r="M139" s="64" t="str">
        <f>IFERROR(__xludf.DUMMYFUNCTION("""COMPUTED_VALUE"""),"U: [1/3 W]; W: [1:1, $11.5]")</f>
        <v>U: [1/3 W]; W: [1:1, $11.5]</v>
      </c>
      <c r="N139" s="65" t="str">
        <f>IFERROR(__xludf.DUMMYFUNCTION("""COMPUTED_VALUE"""),"")</f>
        <v/>
      </c>
      <c r="O139" s="66">
        <f>IFERROR(__xludf.DUMMYFUNCTION("""COMPUTED_VALUE"""),0.0)</f>
        <v>0</v>
      </c>
      <c r="P139" s="67"/>
      <c r="Q139" s="68">
        <f>IFERROR(__xludf.DUMMYFUNCTION("""COMPUTED_VALUE"""),300.0)</f>
        <v>300</v>
      </c>
      <c r="R139" s="69" t="str">
        <f>IFERROR(__xludf.DUMMYFUNCTION("""COMPUTED_VALUE"""),"Cowen, Wells Fargo Securities")</f>
        <v>Cowen, Wells Fargo Securities</v>
      </c>
      <c r="S139" s="64">
        <f>IFERROR(__xludf.DUMMYFUNCTION("""COMPUTED_VALUE"""),45086.0)</f>
        <v>45086</v>
      </c>
      <c r="T139" s="70" t="str">
        <f>IFERROR(__xludf.DUMMYFUNCTION("""COMPUTED_VALUE"""),"")</f>
        <v/>
      </c>
      <c r="U139" s="71" t="str">
        <f>IFERROR(__xludf.DUMMYFUNCTION("""COMPUTED_VALUE"""),"https://www.sec.gov/cgi-bin/browse-edgar?CIK=1845149")</f>
        <v>https://www.sec.gov/cgi-bin/browse-edgar?CIK=1845149</v>
      </c>
      <c r="V139" s="72" t="str">
        <f>IFERROR(__xludf.DUMMYFUNCTION("""COMPUTED_VALUE"""),"            ")</f>
        <v>            </v>
      </c>
      <c r="W139" s="73"/>
      <c r="X139" s="74"/>
      <c r="Y139" s="75"/>
      <c r="Z139" s="60"/>
      <c r="AA139" s="60"/>
      <c r="AB139" s="60"/>
      <c r="AC139" s="60"/>
      <c r="AD139" s="73"/>
      <c r="AE139" s="73"/>
      <c r="AF139" s="76"/>
      <c r="AG139" s="60"/>
    </row>
    <row r="140">
      <c r="A140" s="54" t="str">
        <f>IFERROR(__xludf.DUMMYFUNCTION("""COMPUTED_VALUE"""),"CCAC")</f>
        <v>CCAC</v>
      </c>
      <c r="B140" s="55" t="str">
        <f>IFERROR(__xludf.DUMMYFUNCTION("""COMPUTED_VALUE"""),"CITIC Capital Acquisition Corp")</f>
        <v>CITIC Capital Acquisition Corp</v>
      </c>
      <c r="C140" s="56" t="str">
        <f>IFERROR(__xludf.DUMMYFUNCTION("""COMPUTED_VALUE"""),"Searching")</f>
        <v>Searching</v>
      </c>
      <c r="D140" s="57" t="str">
        <f>IFERROR(__xludf.DUMMYFUNCTION("""COMPUTED_VALUE"""),"Energy Efficiency, Clean Tech, Sustainability")</f>
        <v>Energy Efficiency, Clean Tech, Sustainability</v>
      </c>
      <c r="E140" s="58"/>
      <c r="F140" s="59"/>
      <c r="G140" s="60">
        <f>IFERROR(__xludf.DUMMYFUNCTION("""COMPUTED_VALUE"""),2.77845876E8)</f>
        <v>277845876</v>
      </c>
      <c r="H140" s="60">
        <f>IFERROR(__xludf.DUMMYFUNCTION("""COMPUTED_VALUE"""),2.8014E8)</f>
        <v>280140000</v>
      </c>
      <c r="I140" s="61">
        <f>IFERROR(__xludf.DUMMYFUNCTION("""COMPUTED_VALUE"""),10.15)</f>
        <v>10.15</v>
      </c>
      <c r="J140" s="62">
        <f>IFERROR(__xludf.DUMMYFUNCTION("""COMPUTED_VALUE"""),0.00396)</f>
        <v>0.00396</v>
      </c>
      <c r="K140" s="59">
        <f>IFERROR(__xludf.DUMMYFUNCTION("""COMPUTED_VALUE"""),10.75)</f>
        <v>10.75</v>
      </c>
      <c r="L140" s="63">
        <f>IFERROR(__xludf.DUMMYFUNCTION("""COMPUTED_VALUE"""),1.3001)</f>
        <v>1.3001</v>
      </c>
      <c r="M140" s="64" t="str">
        <f>IFERROR(__xludf.DUMMYFUNCTION("""COMPUTED_VALUE"""),"U: [1/2 W]; W: [1:1, $11.5]")</f>
        <v>U: [1/2 W]; W: [1:1, $11.5]</v>
      </c>
      <c r="N140" s="65" t="str">
        <f>IFERROR(__xludf.DUMMYFUNCTION("""COMPUTED_VALUE"""),"")</f>
        <v/>
      </c>
      <c r="O140" s="66">
        <f>IFERROR(__xludf.DUMMYFUNCTION("""COMPUTED_VALUE"""),0.0)</f>
        <v>0</v>
      </c>
      <c r="P140" s="67">
        <f>IFERROR(__xludf.DUMMYFUNCTION("""COMPUTED_VALUE"""),43872.0)</f>
        <v>43872</v>
      </c>
      <c r="Q140" s="68">
        <f>IFERROR(__xludf.DUMMYFUNCTION("""COMPUTED_VALUE"""),276.0)</f>
        <v>276</v>
      </c>
      <c r="R140" s="69" t="str">
        <f>IFERROR(__xludf.DUMMYFUNCTION("""COMPUTED_VALUE"""),"Credit Suisse
")</f>
        <v>Credit Suisse
</v>
      </c>
      <c r="S140" s="64">
        <f>IFERROR(__xludf.DUMMYFUNCTION("""COMPUTED_VALUE"""),44602.0)</f>
        <v>44602</v>
      </c>
      <c r="T140" s="70">
        <f>IFERROR(__xludf.DUMMYFUNCTION("""COMPUTED_VALUE"""),0.5808219178082191)</f>
        <v>0.5808219178</v>
      </c>
      <c r="U140" s="71" t="str">
        <f>IFERROR(__xludf.DUMMYFUNCTION("""COMPUTED_VALUE"""),"https://www.sec.gov/cgi-bin/browse-edgar?CIK=1794621")</f>
        <v>https://www.sec.gov/cgi-bin/browse-edgar?CIK=1794621</v>
      </c>
      <c r="V140" s="72" t="str">
        <f>IFERROR(__xludf.DUMMYFUNCTION("""COMPUTED_VALUE"""),"Sustainability     Optionable       ")</f>
        <v>Sustainability     Optionable       </v>
      </c>
      <c r="W140" s="73"/>
      <c r="X140" s="74"/>
      <c r="Y140" s="75"/>
      <c r="Z140" s="60"/>
      <c r="AA140" s="60"/>
      <c r="AB140" s="60"/>
      <c r="AC140" s="60"/>
      <c r="AD140" s="73"/>
      <c r="AE140" s="73"/>
      <c r="AF140" s="76"/>
      <c r="AG140" s="60" t="str">
        <f>IFERROR(__xludf.DUMMYFUNCTION("""COMPUTED_VALUE"""),"")</f>
        <v/>
      </c>
    </row>
    <row r="141">
      <c r="A141" s="54" t="str">
        <f>IFERROR(__xludf.DUMMYFUNCTION("""COMPUTED_VALUE"""),"CCIV")</f>
        <v>CCIV</v>
      </c>
      <c r="B141" s="55" t="str">
        <f>IFERROR(__xludf.DUMMYFUNCTION("""COMPUTED_VALUE"""),"Churchill Capital Corp IV")</f>
        <v>Churchill Capital Corp IV</v>
      </c>
      <c r="C141" s="56" t="str">
        <f>IFERROR(__xludf.DUMMYFUNCTION("""COMPUTED_VALUE"""),"Definitive Agreement")</f>
        <v>Definitive Agreement</v>
      </c>
      <c r="D141" s="57"/>
      <c r="E141" s="58" t="str">
        <f>IFERROR(__xludf.DUMMYFUNCTION("""COMPUTED_VALUE"""),"Lucid Motors [DA: 02/22/21]")</f>
        <v>Lucid Motors [DA: 02/22/21]</v>
      </c>
      <c r="F141" s="59" t="str">
        <f>IFERROR(__xludf.DUMMYFUNCTION("""COMPUTED_VALUE"""),"Michael Klein (Former Co-CEO of Citigroup Markets and Banking)")</f>
        <v>Michael Klein (Former Co-CEO of Citigroup Markets and Banking)</v>
      </c>
      <c r="G141" s="60">
        <f>IFERROR(__xludf.DUMMYFUNCTION("""COMPUTED_VALUE"""),2.070167783E9)</f>
        <v>2070167783</v>
      </c>
      <c r="H141" s="60">
        <f>IFERROR(__xludf.DUMMYFUNCTION("""COMPUTED_VALUE"""),4.75479E9)</f>
        <v>4754790000</v>
      </c>
      <c r="I141" s="61">
        <f>IFERROR(__xludf.DUMMYFUNCTION("""COMPUTED_VALUE"""),22.97)</f>
        <v>22.97</v>
      </c>
      <c r="J141" s="62">
        <f>IFERROR(__xludf.DUMMYFUNCTION("""COMPUTED_VALUE"""),-0.0082)</f>
        <v>-0.0082</v>
      </c>
      <c r="K141" s="59">
        <f>IFERROR(__xludf.DUMMYFUNCTION("""COMPUTED_VALUE"""),25.17)</f>
        <v>25.17</v>
      </c>
      <c r="L141" s="63">
        <f>IFERROR(__xludf.DUMMYFUNCTION("""COMPUTED_VALUE"""),10.94)</f>
        <v>10.94</v>
      </c>
      <c r="M141" s="64" t="str">
        <f>IFERROR(__xludf.DUMMYFUNCTION("""COMPUTED_VALUE"""),"U: [1/5 W]; W: [1:1, $11.5]")</f>
        <v>U: [1/5 W]; W: [1:1, $11.5]</v>
      </c>
      <c r="N141" s="65" t="str">
        <f>IFERROR(__xludf.DUMMYFUNCTION("""COMPUTED_VALUE"""),"")</f>
        <v/>
      </c>
      <c r="O141" s="66">
        <f>IFERROR(__xludf.DUMMYFUNCTION("""COMPUTED_VALUE"""),11.469999999999999)</f>
        <v>11.47</v>
      </c>
      <c r="P141" s="67">
        <f>IFERROR(__xludf.DUMMYFUNCTION("""COMPUTED_VALUE"""),44042.0)</f>
        <v>44042</v>
      </c>
      <c r="Q141" s="68">
        <f>IFERROR(__xludf.DUMMYFUNCTION("""COMPUTED_VALUE"""),2070.0)</f>
        <v>2070</v>
      </c>
      <c r="R141" s="69" t="str">
        <f>IFERROR(__xludf.DUMMYFUNCTION("""COMPUTED_VALUE"""),"Citigroup, Goldman Sachs, JP Morgan")</f>
        <v>Citigroup, Goldman Sachs, JP Morgan</v>
      </c>
      <c r="S141" s="64">
        <f>IFERROR(__xludf.DUMMYFUNCTION("""COMPUTED_VALUE"""),44863.25)</f>
        <v>44863.25</v>
      </c>
      <c r="T141" s="70">
        <f>IFERROR(__xludf.DUMMYFUNCTION("""COMPUTED_VALUE"""),0.30928462709284626)</f>
        <v>0.3092846271</v>
      </c>
      <c r="U141" s="71" t="str">
        <f>IFERROR(__xludf.DUMMYFUNCTION("""COMPUTED_VALUE"""),"https://www.sec.gov/cgi-bin/browse-edgar?CIK=1811210")</f>
        <v>https://www.sec.gov/cgi-bin/browse-edgar?CIK=1811210</v>
      </c>
      <c r="V141" s="72" t="str">
        <f>IFERROR(__xludf.DUMMYFUNCTION("""COMPUTED_VALUE"""),"   $500M+ Trust Optionable    Well-known Sponsor Serial Sponsor Top Tier UW ")</f>
        <v>   $500M+ Trust Optionable    Well-known Sponsor Serial Sponsor Top Tier UW </v>
      </c>
      <c r="W141" s="73">
        <f>IFERROR(__xludf.DUMMYFUNCTION("""COMPUTED_VALUE"""),44249.0)</f>
        <v>44249</v>
      </c>
      <c r="X141" s="79">
        <f>IFERROR(__xludf.DUMMYFUNCTION("""COMPUTED_VALUE"""),6.9)</f>
        <v>6.9</v>
      </c>
      <c r="Y141" s="80" t="str">
        <f>IFERROR(__xludf.DUMMYFUNCTION("""COMPUTED_VALUE"""),"https://www.prnewswire.com/news-releases/lucid-motors-to-go-public-in-merger-with-churchill-capital-corp-iv-bolstering-lucids-vision-to-redefine-luxury-performance-and-efficiency-in-the-sustainable-electric-vehicle-market-301232846.html")</f>
        <v>https://www.prnewswire.com/news-releases/lucid-motors-to-go-public-in-merger-with-churchill-capital-corp-iv-bolstering-lucids-vision-to-redefine-luxury-performance-and-efficiency-in-the-sustainable-electric-vehicle-market-301232846.html</v>
      </c>
      <c r="Z141" s="81" t="str">
        <f>IFERROR(__xludf.DUMMYFUNCTION("""COMPUTED_VALUE"""),"https://www.sec.gov/Archives/edgar/data/1811210/000110465921026357/tm217491d2_ex99-2.htm")</f>
        <v>https://www.sec.gov/Archives/edgar/data/1811210/000110465921026357/tm217491d2_ex99-2.htm</v>
      </c>
      <c r="AA141" s="60">
        <f>IFERROR(__xludf.DUMMYFUNCTION("""COMPUTED_VALUE"""),2.5E9)</f>
        <v>2500000000</v>
      </c>
      <c r="AB141" s="60">
        <f>IFERROR(__xludf.DUMMYFUNCTION("""COMPUTED_VALUE"""),1.6E10)</f>
        <v>16000000000</v>
      </c>
      <c r="AC141" s="60">
        <f>IFERROR(__xludf.DUMMYFUNCTION("""COMPUTED_VALUE"""),1.175E10)</f>
        <v>11750000000</v>
      </c>
      <c r="AD141" s="73"/>
      <c r="AE141" s="73"/>
      <c r="AF141" s="76">
        <f>IFERROR(__xludf.DUMMYFUNCTION("""COMPUTED_VALUE"""),1.6E9)</f>
        <v>1600000000</v>
      </c>
      <c r="AG141" s="60">
        <f>IFERROR(__xludf.DUMMYFUNCTION("""COMPUTED_VALUE"""),3.6752E10)</f>
        <v>36752000000</v>
      </c>
    </row>
    <row r="142">
      <c r="A142" s="54" t="str">
        <f>IFERROR(__xludf.DUMMYFUNCTION("""COMPUTED_VALUE"""),"CCV")</f>
        <v>CCV</v>
      </c>
      <c r="B142" s="55" t="str">
        <f>IFERROR(__xludf.DUMMYFUNCTION("""COMPUTED_VALUE"""),"Churchill Capital Corp V")</f>
        <v>Churchill Capital Corp V</v>
      </c>
      <c r="C142" s="56" t="str">
        <f>IFERROR(__xludf.DUMMYFUNCTION("""COMPUTED_VALUE"""),"Searching")</f>
        <v>Searching</v>
      </c>
      <c r="D142" s="57"/>
      <c r="E142" s="58"/>
      <c r="F142" s="59" t="str">
        <f>IFERROR(__xludf.DUMMYFUNCTION("""COMPUTED_VALUE"""),"Michael Klein (Former Co-CEO of Citigroup Markets and Banking)")</f>
        <v>Michael Klein (Former Co-CEO of Citigroup Markets and Banking)</v>
      </c>
      <c r="G142" s="60">
        <f>IFERROR(__xludf.DUMMYFUNCTION("""COMPUTED_VALUE"""),5.0E8)</f>
        <v>500000000</v>
      </c>
      <c r="H142" s="60">
        <f>IFERROR(__xludf.DUMMYFUNCTION("""COMPUTED_VALUE"""),5.06E8)</f>
        <v>506000000</v>
      </c>
      <c r="I142" s="61">
        <f>IFERROR(__xludf.DUMMYFUNCTION("""COMPUTED_VALUE"""),10.12)</f>
        <v>10.12</v>
      </c>
      <c r="J142" s="62">
        <f>IFERROR(__xludf.DUMMYFUNCTION("""COMPUTED_VALUE"""),-0.00784)</f>
        <v>-0.00784</v>
      </c>
      <c r="K142" s="59">
        <f>IFERROR(__xludf.DUMMYFUNCTION("""COMPUTED_VALUE"""),10.53)</f>
        <v>10.53</v>
      </c>
      <c r="L142" s="63">
        <f>IFERROR(__xludf.DUMMYFUNCTION("""COMPUTED_VALUE"""),1.61)</f>
        <v>1.61</v>
      </c>
      <c r="M142" s="64" t="str">
        <f>IFERROR(__xludf.DUMMYFUNCTION("""COMPUTED_VALUE"""),"U: [1/4 W]; W: [1:1, $11.5]")</f>
        <v>U: [1/4 W]; W: [1:1, $11.5]</v>
      </c>
      <c r="N142" s="65" t="str">
        <f>IFERROR(__xludf.DUMMYFUNCTION("""COMPUTED_VALUE"""),"")</f>
        <v/>
      </c>
      <c r="O142" s="66">
        <f>IFERROR(__xludf.DUMMYFUNCTION("""COMPUTED_VALUE"""),0.0)</f>
        <v>0</v>
      </c>
      <c r="P142" s="67">
        <f>IFERROR(__xludf.DUMMYFUNCTION("""COMPUTED_VALUE"""),44181.0)</f>
        <v>44181</v>
      </c>
      <c r="Q142" s="68">
        <f>IFERROR(__xludf.DUMMYFUNCTION("""COMPUTED_VALUE"""),500.0)</f>
        <v>500</v>
      </c>
      <c r="R142" s="69" t="str">
        <f>IFERROR(__xludf.DUMMYFUNCTION("""COMPUTED_VALUE"""),"Citigroup")</f>
        <v>Citigroup</v>
      </c>
      <c r="S142" s="64">
        <f>IFERROR(__xludf.DUMMYFUNCTION("""COMPUTED_VALUE"""),44911.0)</f>
        <v>44911</v>
      </c>
      <c r="T142" s="70">
        <f>IFERROR(__xludf.DUMMYFUNCTION("""COMPUTED_VALUE"""),0.15753424657534246)</f>
        <v>0.1575342466</v>
      </c>
      <c r="U142" s="71" t="str">
        <f>IFERROR(__xludf.DUMMYFUNCTION("""COMPUTED_VALUE"""),"https://www.sec.gov/cgi-bin/browse-edgar?CIK=1812234")</f>
        <v>https://www.sec.gov/cgi-bin/browse-edgar?CIK=1812234</v>
      </c>
      <c r="V142" s="72" t="str">
        <f>IFERROR(__xludf.DUMMYFUNCTION("""COMPUTED_VALUE"""),"   $500M+ Trust Optionable    Well-known Sponsor Serial Sponsor Top Tier UW ")</f>
        <v>   $500M+ Trust Optionable    Well-known Sponsor Serial Sponsor Top Tier UW </v>
      </c>
      <c r="W142" s="73"/>
      <c r="X142" s="74"/>
      <c r="Y142" s="75"/>
      <c r="Z142" s="60"/>
      <c r="AA142" s="60"/>
      <c r="AB142" s="60"/>
      <c r="AC142" s="60"/>
      <c r="AD142" s="73"/>
      <c r="AE142" s="73"/>
      <c r="AF142" s="76"/>
      <c r="AG142" s="60" t="str">
        <f>IFERROR(__xludf.DUMMYFUNCTION("""COMPUTED_VALUE"""),"")</f>
        <v/>
      </c>
    </row>
    <row r="143">
      <c r="A143" s="54" t="str">
        <f>IFERROR(__xludf.DUMMYFUNCTION("""COMPUTED_VALUE"""),"CCVI")</f>
        <v>CCVI</v>
      </c>
      <c r="B143" s="55" t="str">
        <f>IFERROR(__xludf.DUMMYFUNCTION("""COMPUTED_VALUE"""),"Churchill Capital Corp VI")</f>
        <v>Churchill Capital Corp VI</v>
      </c>
      <c r="C143" s="56" t="str">
        <f>IFERROR(__xludf.DUMMYFUNCTION("""COMPUTED_VALUE"""),"Searching")</f>
        <v>Searching</v>
      </c>
      <c r="D143" s="57"/>
      <c r="E143" s="58"/>
      <c r="F143" s="59" t="str">
        <f>IFERROR(__xludf.DUMMYFUNCTION("""COMPUTED_VALUE"""),"Michael Klein (Former Co-CEO of Citigroup Markets and Banking), Glenn August (Founder/CEO, Oak Hill Advisors)")</f>
        <v>Michael Klein (Former Co-CEO of Citigroup Markets and Banking), Glenn August (Founder/CEO, Oak Hill Advisors)</v>
      </c>
      <c r="G143" s="60">
        <f>IFERROR(__xludf.DUMMYFUNCTION("""COMPUTED_VALUE"""),5.52E8)</f>
        <v>552000000</v>
      </c>
      <c r="H143" s="60"/>
      <c r="I143" s="61">
        <f>IFERROR(__xludf.DUMMYFUNCTION("""COMPUTED_VALUE"""),10.05)</f>
        <v>10.05</v>
      </c>
      <c r="J143" s="62">
        <f>IFERROR(__xludf.DUMMYFUNCTION("""COMPUTED_VALUE"""),-0.00317)</f>
        <v>-0.00317</v>
      </c>
      <c r="K143" s="59">
        <f>IFERROR(__xludf.DUMMYFUNCTION("""COMPUTED_VALUE"""),10.4)</f>
        <v>10.4</v>
      </c>
      <c r="L143" s="63">
        <f>IFERROR(__xludf.DUMMYFUNCTION("""COMPUTED_VALUE"""),1.65)</f>
        <v>1.65</v>
      </c>
      <c r="M143" s="64" t="str">
        <f>IFERROR(__xludf.DUMMYFUNCTION("""COMPUTED_VALUE"""),"U: [1/5 W]; W: [1:1, $11.5]")</f>
        <v>U: [1/5 W]; W: [1:1, $11.5]</v>
      </c>
      <c r="N143" s="65" t="str">
        <f>IFERROR(__xludf.DUMMYFUNCTION("""COMPUTED_VALUE"""),"")</f>
        <v/>
      </c>
      <c r="O143" s="66">
        <f>IFERROR(__xludf.DUMMYFUNCTION("""COMPUTED_VALUE"""),0.0)</f>
        <v>0</v>
      </c>
      <c r="P143" s="67">
        <f>IFERROR(__xludf.DUMMYFUNCTION("""COMPUTED_VALUE"""),44239.0)</f>
        <v>44239</v>
      </c>
      <c r="Q143" s="68">
        <f>IFERROR(__xludf.DUMMYFUNCTION("""COMPUTED_VALUE"""),552.0)</f>
        <v>552</v>
      </c>
      <c r="R143" s="85" t="str">
        <f>IFERROR(__xludf.DUMMYFUNCTION("""COMPUTED_VALUE"""),"JP Morgan, Citigroup, Goldman Sachs, BofA Securities")</f>
        <v>JP Morgan, Citigroup, Goldman Sachs, BofA Securities</v>
      </c>
      <c r="S143" s="64">
        <f>IFERROR(__xludf.DUMMYFUNCTION("""COMPUTED_VALUE"""),44969.0)</f>
        <v>44969</v>
      </c>
      <c r="T143" s="70">
        <f>IFERROR(__xludf.DUMMYFUNCTION("""COMPUTED_VALUE"""),0.07808219178082192)</f>
        <v>0.07808219178</v>
      </c>
      <c r="U143" s="71" t="str">
        <f>IFERROR(__xludf.DUMMYFUNCTION("""COMPUTED_VALUE"""),"https://www.sec.gov/cgi-bin/browse-edgar?CIK=1828250")</f>
        <v>https://www.sec.gov/cgi-bin/browse-edgar?CIK=1828250</v>
      </c>
      <c r="V143" s="72" t="str">
        <f>IFERROR(__xludf.DUMMYFUNCTION("""COMPUTED_VALUE"""),"   $500M+ Trust     Well-known Sponsor Serial Sponsor Top Tier UW Recent Split")</f>
        <v>   $500M+ Trust     Well-known Sponsor Serial Sponsor Top Tier UW Recent Split</v>
      </c>
      <c r="W143" s="73"/>
      <c r="X143" s="74"/>
      <c r="Y143" s="75"/>
      <c r="Z143" s="60"/>
      <c r="AA143" s="60"/>
      <c r="AB143" s="60"/>
      <c r="AC143" s="60"/>
      <c r="AD143" s="73"/>
      <c r="AE143" s="73"/>
      <c r="AF143" s="76"/>
      <c r="AG143" s="60" t="str">
        <f>IFERROR(__xludf.DUMMYFUNCTION("""COMPUTED_VALUE"""),"")</f>
        <v/>
      </c>
    </row>
    <row r="144">
      <c r="A144" s="54" t="str">
        <f>IFERROR(__xludf.DUMMYFUNCTION("""COMPUTED_VALUE"""),"CCX")</f>
        <v>CCX</v>
      </c>
      <c r="B144" s="55" t="str">
        <f>IFERROR(__xludf.DUMMYFUNCTION("""COMPUTED_VALUE"""),"Churchill Capital Corp II")</f>
        <v>Churchill Capital Corp II</v>
      </c>
      <c r="C144" s="56" t="str">
        <f>IFERROR(__xludf.DUMMYFUNCTION("""COMPUTED_VALUE"""),"Definitive Agreement")</f>
        <v>Definitive Agreement</v>
      </c>
      <c r="D144" s="57"/>
      <c r="E144" s="58" t="str">
        <f>IFERROR(__xludf.DUMMYFUNCTION("""COMPUTED_VALUE"""),"Skillsoft and Global Knowledge [DA: 10/13/20]")</f>
        <v>Skillsoft and Global Knowledge [DA: 10/13/20]</v>
      </c>
      <c r="F144" s="59" t="str">
        <f>IFERROR(__xludf.DUMMYFUNCTION("""COMPUTED_VALUE"""),"Michael Klein (Former Co-CEO of Citigroup Markets and Banking)")</f>
        <v>Michael Klein (Former Co-CEO of Citigroup Markets and Banking)</v>
      </c>
      <c r="G144" s="60">
        <f>IFERROR(__xludf.DUMMYFUNCTION("""COMPUTED_VALUE"""),6.97283649E8)</f>
        <v>697283649</v>
      </c>
      <c r="H144" s="60">
        <f>IFERROR(__xludf.DUMMYFUNCTION("""COMPUTED_VALUE"""),6.9207E8)</f>
        <v>692070000</v>
      </c>
      <c r="I144" s="61">
        <f>IFERROR(__xludf.DUMMYFUNCTION("""COMPUTED_VALUE"""),10.03)</f>
        <v>10.03</v>
      </c>
      <c r="J144" s="62">
        <f>IFERROR(__xludf.DUMMYFUNCTION("""COMPUTED_VALUE"""),-0.001)</f>
        <v>-0.001</v>
      </c>
      <c r="K144" s="59">
        <f>IFERROR(__xludf.DUMMYFUNCTION("""COMPUTED_VALUE"""),10.4)</f>
        <v>10.4</v>
      </c>
      <c r="L144" s="63">
        <f>IFERROR(__xludf.DUMMYFUNCTION("""COMPUTED_VALUE"""),1.51)</f>
        <v>1.51</v>
      </c>
      <c r="M144" s="64" t="str">
        <f>IFERROR(__xludf.DUMMYFUNCTION("""COMPUTED_VALUE"""),"U: [1/3 W]; W: [1:1, $11.5]")</f>
        <v>U: [1/3 W]; W: [1:1, $11.5]</v>
      </c>
      <c r="N144" s="65" t="str">
        <f>IFERROR(__xludf.DUMMYFUNCTION("""COMPUTED_VALUE"""),"")</f>
        <v/>
      </c>
      <c r="O144" s="66">
        <f>IFERROR(__xludf.DUMMYFUNCTION("""COMPUTED_VALUE"""),0.0)</f>
        <v>0</v>
      </c>
      <c r="P144" s="67">
        <f>IFERROR(__xludf.DUMMYFUNCTION("""COMPUTED_VALUE"""),43642.0)</f>
        <v>43642</v>
      </c>
      <c r="Q144" s="68">
        <f>IFERROR(__xludf.DUMMYFUNCTION("""COMPUTED_VALUE"""),690.0)</f>
        <v>690</v>
      </c>
      <c r="R144" s="69" t="str">
        <f>IFERROR(__xludf.DUMMYFUNCTION("""COMPUTED_VALUE"""),"Citigroup, B. Riley FBR")</f>
        <v>Citigroup, B. Riley FBR</v>
      </c>
      <c r="S144" s="64">
        <f>IFERROR(__xludf.DUMMYFUNCTION("""COMPUTED_VALUE"""),44372.0)</f>
        <v>44372</v>
      </c>
      <c r="T144" s="70">
        <f>IFERROR(__xludf.DUMMYFUNCTION("""COMPUTED_VALUE"""),0.8958904109589041)</f>
        <v>0.895890411</v>
      </c>
      <c r="U144" s="71" t="str">
        <f>IFERROR(__xludf.DUMMYFUNCTION("""COMPUTED_VALUE"""),"https://www.sec.gov/cgi-bin/browse-edgar?CIK=1774675")</f>
        <v>https://www.sec.gov/cgi-bin/browse-edgar?CIK=1774675</v>
      </c>
      <c r="V144" s="72" t="str">
        <f>IFERROR(__xludf.DUMMYFUNCTION("""COMPUTED_VALUE"""),"   $500M+ Trust Optionable    Well-known Sponsor Serial Sponsor Top Tier UW ")</f>
        <v>   $500M+ Trust Optionable    Well-known Sponsor Serial Sponsor Top Tier UW </v>
      </c>
      <c r="W144" s="73">
        <f>IFERROR(__xludf.DUMMYFUNCTION("""COMPUTED_VALUE"""),44117.0)</f>
        <v>44117</v>
      </c>
      <c r="X144" s="79">
        <f>IFERROR(__xludf.DUMMYFUNCTION("""COMPUTED_VALUE"""),15.833333333333334)</f>
        <v>15.83333333</v>
      </c>
      <c r="Y144" s="80" t="str">
        <f>IFERROR(__xludf.DUMMYFUNCTION("""COMPUTED_VALUE"""),"https://www.prnewswire.com/news-releases/churchill-capital-corp-ii-announces-agreement-to-acquire-skillsoft-and-global-knowledge-to-create-the-leading-corporate-digital-learning-company-301151059.html")</f>
        <v>https://www.prnewswire.com/news-releases/churchill-capital-corp-ii-announces-agreement-to-acquire-skillsoft-and-global-knowledge-to-create-the-leading-corporate-digital-learning-company-301151059.html</v>
      </c>
      <c r="Z144" s="81" t="str">
        <f>IFERROR(__xludf.DUMMYFUNCTION("""COMPUTED_VALUE"""),"https://www.sec.gov/Archives/edgar/data/1774675/000110465920114582/tm2033075-1_425.htm")</f>
        <v>https://www.sec.gov/Archives/edgar/data/1774675/000110465920114582/tm2033075-1_425.htm</v>
      </c>
      <c r="AA144" s="60">
        <f>IFERROR(__xludf.DUMMYFUNCTION("""COMPUTED_VALUE"""),5.3E8)</f>
        <v>530000000</v>
      </c>
      <c r="AB144" s="60">
        <f>IFERROR(__xludf.DUMMYFUNCTION("""COMPUTED_VALUE"""),1.533E9)</f>
        <v>1533000000</v>
      </c>
      <c r="AC144" s="60"/>
      <c r="AD144" s="73"/>
      <c r="AE144" s="73"/>
      <c r="AF144" s="76">
        <f>IFERROR(__xludf.DUMMYFUNCTION("""COMPUTED_VALUE"""),1.634E8)</f>
        <v>163400000</v>
      </c>
      <c r="AG144" s="60">
        <f>IFERROR(__xludf.DUMMYFUNCTION("""COMPUTED_VALUE"""),1.638902E9)</f>
        <v>1638902000</v>
      </c>
    </row>
    <row r="145">
      <c r="A145" s="54" t="str">
        <f>IFERROR(__xludf.DUMMYFUNCTION("""COMPUTED_VALUE"""),"CEAS")</f>
        <v>CEAS</v>
      </c>
      <c r="B145" s="55" t="str">
        <f>IFERROR(__xludf.DUMMYFUNCTION("""COMPUTED_VALUE"""),"CEA Space Partners I Corp.")</f>
        <v>CEA Space Partners I Corp.</v>
      </c>
      <c r="C145" s="56" t="str">
        <f>IFERROR(__xludf.DUMMYFUNCTION("""COMPUTED_VALUE"""),"Pre IPO")</f>
        <v>Pre IPO</v>
      </c>
      <c r="D145" s="57" t="str">
        <f>IFERROR(__xludf.DUMMYFUNCTION("""COMPUTED_VALUE"""),"Space Economy")</f>
        <v>Space Economy</v>
      </c>
      <c r="E145" s="58"/>
      <c r="F145" s="59" t="str">
        <f>IFERROR(__xludf.DUMMYFUNCTION("""COMPUTED_VALUE"""),"Edward Horowitz (Former Chairman &amp; CEO of Viacom Broadcasting and the Viacom Interactive Media Group), Dr. Lonnie Johnson (NASA scientist), Nicole Stott (Former NASA Astronaut), Rick Michaels, Jr. (Chairman &amp; CEO of the CEA Group)")</f>
        <v>Edward Horowitz (Former Chairman &amp; CEO of Viacom Broadcasting and the Viacom Interactive Media Group), Dr. Lonnie Johnson (NASA scientist), Nicole Stott (Former NASA Astronaut), Rick Michaels, Jr. (Chairman &amp; CEO of the CEA Group)</v>
      </c>
      <c r="G145" s="60">
        <f>IFERROR(__xludf.DUMMYFUNCTION("""COMPUTED_VALUE"""),2.5E8)</f>
        <v>250000000</v>
      </c>
      <c r="H145" s="60" t="str">
        <f>IFERROR(__xludf.DUMMYFUNCTION("""COMPUTED_VALUE""")," ")</f>
        <v> </v>
      </c>
      <c r="I145" s="61" t="str">
        <f>IFERROR(__xludf.DUMMYFUNCTION("""COMPUTED_VALUE""")," ")</f>
        <v> </v>
      </c>
      <c r="J145" s="62" t="str">
        <f>IFERROR(__xludf.DUMMYFUNCTION("""COMPUTED_VALUE""")," ")</f>
        <v> </v>
      </c>
      <c r="K145" s="59" t="str">
        <f>IFERROR(__xludf.DUMMYFUNCTION("""COMPUTED_VALUE""")," ")</f>
        <v> </v>
      </c>
      <c r="L145" s="63" t="str">
        <f>IFERROR(__xludf.DUMMYFUNCTION("""COMPUTED_VALUE""")," ")</f>
        <v> </v>
      </c>
      <c r="M145" s="64" t="str">
        <f>IFERROR(__xludf.DUMMYFUNCTION("""COMPUTED_VALUE"""),"U: [1/3 W]; W: [1:1, $11.5]")</f>
        <v>U: [1/3 W]; W: [1:1, $11.5]</v>
      </c>
      <c r="N145" s="65" t="str">
        <f>IFERROR(__xludf.DUMMYFUNCTION("""COMPUTED_VALUE"""),"")</f>
        <v/>
      </c>
      <c r="O145" s="66">
        <f>IFERROR(__xludf.DUMMYFUNCTION("""COMPUTED_VALUE"""),0.0)</f>
        <v>0</v>
      </c>
      <c r="P145" s="67"/>
      <c r="Q145" s="68">
        <f>IFERROR(__xludf.DUMMYFUNCTION("""COMPUTED_VALUE"""),250.0)</f>
        <v>250</v>
      </c>
      <c r="R145" s="69" t="str">
        <f>IFERROR(__xludf.DUMMYFUNCTION("""COMPUTED_VALUE"""),"Goldman Sachs &amp; Co. LLC")</f>
        <v>Goldman Sachs &amp; Co. LLC</v>
      </c>
      <c r="S145" s="64">
        <f>IFERROR(__xludf.DUMMYFUNCTION("""COMPUTED_VALUE"""),45086.0)</f>
        <v>45086</v>
      </c>
      <c r="T145" s="70" t="str">
        <f>IFERROR(__xludf.DUMMYFUNCTION("""COMPUTED_VALUE"""),"")</f>
        <v/>
      </c>
      <c r="U145" s="71" t="str">
        <f>IFERROR(__xludf.DUMMYFUNCTION("""COMPUTED_VALUE"""),"https://www.sec.gov/cgi-bin/browse-edgar?CIK=1853404")</f>
        <v>https://www.sec.gov/cgi-bin/browse-edgar?CIK=1853404</v>
      </c>
      <c r="V145" s="72" t="str">
        <f>IFERROR(__xludf.DUMMYFUNCTION("""COMPUTED_VALUE"""),"           Top Tier UW ")</f>
        <v>           Top Tier UW </v>
      </c>
      <c r="W145" s="73"/>
      <c r="X145" s="74"/>
      <c r="Y145" s="75"/>
      <c r="Z145" s="60"/>
      <c r="AA145" s="60"/>
      <c r="AB145" s="60"/>
      <c r="AC145" s="60"/>
      <c r="AD145" s="73"/>
      <c r="AE145" s="73"/>
      <c r="AF145" s="76"/>
      <c r="AG145" s="60"/>
    </row>
    <row r="146">
      <c r="A146" s="54" t="str">
        <f>IFERROR(__xludf.DUMMYFUNCTION("""COMPUTED_VALUE"""),"CENH")</f>
        <v>CENH</v>
      </c>
      <c r="B146" s="55" t="str">
        <f>IFERROR(__xludf.DUMMYFUNCTION("""COMPUTED_VALUE"""),"Centricus Acquisition Corp.")</f>
        <v>Centricus Acquisition Corp.</v>
      </c>
      <c r="C146" s="56" t="str">
        <f>IFERROR(__xludf.DUMMYFUNCTION("""COMPUTED_VALUE"""),"Searching")</f>
        <v>Searching</v>
      </c>
      <c r="D146" s="57"/>
      <c r="E146" s="58"/>
      <c r="F146" s="59" t="str">
        <f>IFERROR(__xludf.DUMMYFUNCTION("""COMPUTED_VALUE"""),"Manfredi Lefebvre d’Ovidio (Fmr Exec Chairman, Silversea Cruises), Garth Ritchie (Fmr President Investment Banking, Deutsche Bank)")</f>
        <v>Manfredi Lefebvre d’Ovidio (Fmr Exec Chairman, Silversea Cruises), Garth Ritchie (Fmr President Investment Banking, Deutsche Bank)</v>
      </c>
      <c r="G146" s="60">
        <f>IFERROR(__xludf.DUMMYFUNCTION("""COMPUTED_VALUE"""),3.45E8)</f>
        <v>345000000</v>
      </c>
      <c r="H146" s="60">
        <f>IFERROR(__xludf.DUMMYFUNCTION("""COMPUTED_VALUE"""),3.43275E8)</f>
        <v>343275000</v>
      </c>
      <c r="I146" s="61">
        <f>IFERROR(__xludf.DUMMYFUNCTION("""COMPUTED_VALUE"""),9.95)</f>
        <v>9.95</v>
      </c>
      <c r="J146" s="62"/>
      <c r="K146" s="59">
        <f>IFERROR(__xludf.DUMMYFUNCTION("""COMPUTED_VALUE"""),10.04)</f>
        <v>10.04</v>
      </c>
      <c r="L146" s="63">
        <f>IFERROR(__xludf.DUMMYFUNCTION("""COMPUTED_VALUE"""),0.8)</f>
        <v>0.8</v>
      </c>
      <c r="M146" s="64" t="str">
        <f>IFERROR(__xludf.DUMMYFUNCTION("""COMPUTED_VALUE"""),"U: [1/4 W]; W: [1:1, $11.5]")</f>
        <v>U: [1/4 W]; W: [1:1, $11.5]</v>
      </c>
      <c r="N146" s="65">
        <f>IFERROR(__xludf.DUMMYFUNCTION("""COMPUTED_VALUE"""),44284.0)</f>
        <v>44284</v>
      </c>
      <c r="O146" s="66">
        <f>IFERROR(__xludf.DUMMYFUNCTION("""COMPUTED_VALUE"""),0.0)</f>
        <v>0</v>
      </c>
      <c r="P146" s="67">
        <f>IFERROR(__xludf.DUMMYFUNCTION("""COMPUTED_VALUE"""),44230.0)</f>
        <v>44230</v>
      </c>
      <c r="Q146" s="68">
        <f>IFERROR(__xludf.DUMMYFUNCTION("""COMPUTED_VALUE"""),345.0)</f>
        <v>345</v>
      </c>
      <c r="R146" s="69" t="str">
        <f>IFERROR(__xludf.DUMMYFUNCTION("""COMPUTED_VALUE"""),"Deutsche Bank, Barclays")</f>
        <v>Deutsche Bank, Barclays</v>
      </c>
      <c r="S146" s="64">
        <f>IFERROR(__xludf.DUMMYFUNCTION("""COMPUTED_VALUE"""),44960.0)</f>
        <v>44960</v>
      </c>
      <c r="T146" s="70">
        <f>IFERROR(__xludf.DUMMYFUNCTION("""COMPUTED_VALUE"""),0.09041095890410959)</f>
        <v>0.0904109589</v>
      </c>
      <c r="U146" s="71" t="str">
        <f>IFERROR(__xludf.DUMMYFUNCTION("""COMPUTED_VALUE"""),"https://www.sec.gov/cgi-bin/browse-edgar?CIK=1836935")</f>
        <v>https://www.sec.gov/cgi-bin/browse-edgar?CIK=1836935</v>
      </c>
      <c r="V146" s="72" t="str">
        <f>IFERROR(__xludf.DUMMYFUNCTION("""COMPUTED_VALUE""")," Trading Below $10 (Common)        Well-known Sponsor   ")</f>
        <v> Trading Below $10 (Common)        Well-known Sponsor   </v>
      </c>
      <c r="W146" s="73"/>
      <c r="X146" s="74"/>
      <c r="Y146" s="75"/>
      <c r="Z146" s="60"/>
      <c r="AA146" s="60"/>
      <c r="AB146" s="60"/>
      <c r="AC146" s="60"/>
      <c r="AD146" s="73"/>
      <c r="AE146" s="73"/>
      <c r="AF146" s="76"/>
      <c r="AG146" s="60" t="str">
        <f>IFERROR(__xludf.DUMMYFUNCTION("""COMPUTED_VALUE"""),"")</f>
        <v/>
      </c>
    </row>
    <row r="147">
      <c r="A147" s="54" t="str">
        <f>IFERROR(__xludf.DUMMYFUNCTION("""COMPUTED_VALUE"""),"CENQ")</f>
        <v>CENQ</v>
      </c>
      <c r="B147" s="55" t="str">
        <f>IFERROR(__xludf.DUMMYFUNCTION("""COMPUTED_VALUE"""),"CENAQ Energy Corp.")</f>
        <v>CENAQ Energy Corp.</v>
      </c>
      <c r="C147" s="56" t="str">
        <f>IFERROR(__xludf.DUMMYFUNCTION("""COMPUTED_VALUE"""),"Pre IPO")</f>
        <v>Pre IPO</v>
      </c>
      <c r="D147" s="77" t="str">
        <f>IFERROR(__xludf.DUMMYFUNCTION("""COMPUTED_VALUE"""),"Energy")</f>
        <v>Energy</v>
      </c>
      <c r="E147" s="58"/>
      <c r="F147" s="59"/>
      <c r="G147" s="60">
        <f>IFERROR(__xludf.DUMMYFUNCTION("""COMPUTED_VALUE"""),1.5E8)</f>
        <v>150000000</v>
      </c>
      <c r="H147" s="60" t="str">
        <f>IFERROR(__xludf.DUMMYFUNCTION("""COMPUTED_VALUE""")," ")</f>
        <v> </v>
      </c>
      <c r="I147" s="61" t="str">
        <f>IFERROR(__xludf.DUMMYFUNCTION("""COMPUTED_VALUE""")," ")</f>
        <v> </v>
      </c>
      <c r="J147" s="62" t="str">
        <f>IFERROR(__xludf.DUMMYFUNCTION("""COMPUTED_VALUE""")," ")</f>
        <v> </v>
      </c>
      <c r="K147" s="59" t="str">
        <f>IFERROR(__xludf.DUMMYFUNCTION("""COMPUTED_VALUE""")," ")</f>
        <v> </v>
      </c>
      <c r="L147" s="63" t="str">
        <f>IFERROR(__xludf.DUMMYFUNCTION("""COMPUTED_VALUE""")," ")</f>
        <v> </v>
      </c>
      <c r="M147" s="64" t="str">
        <f>IFERROR(__xludf.DUMMYFUNCTION("""COMPUTED_VALUE"""),"U: [1/2 W]; W: [1:1, $11.5]")</f>
        <v>U: [1/2 W]; W: [1:1, $11.5]</v>
      </c>
      <c r="N147" s="65" t="str">
        <f>IFERROR(__xludf.DUMMYFUNCTION("""COMPUTED_VALUE"""),"")</f>
        <v/>
      </c>
      <c r="O147" s="66">
        <f>IFERROR(__xludf.DUMMYFUNCTION("""COMPUTED_VALUE"""),0.0)</f>
        <v>0</v>
      </c>
      <c r="P147" s="67"/>
      <c r="Q147" s="68">
        <f>IFERROR(__xludf.DUMMYFUNCTION("""COMPUTED_VALUE"""),150.0)</f>
        <v>150</v>
      </c>
      <c r="R147" s="69" t="str">
        <f>IFERROR(__xludf.DUMMYFUNCTION("""COMPUTED_VALUE"""),"Imperial Capital")</f>
        <v>Imperial Capital</v>
      </c>
      <c r="S147" s="64">
        <f>IFERROR(__xludf.DUMMYFUNCTION("""COMPUTED_VALUE"""),45086.0)</f>
        <v>45086</v>
      </c>
      <c r="T147" s="70" t="str">
        <f>IFERROR(__xludf.DUMMYFUNCTION("""COMPUTED_VALUE"""),"")</f>
        <v/>
      </c>
      <c r="U147" s="71" t="str">
        <f>IFERROR(__xludf.DUMMYFUNCTION("""COMPUTED_VALUE"""),"https://www.sec.gov/cgi-bin/browse-edgar?CIK=1841425")</f>
        <v>https://www.sec.gov/cgi-bin/browse-edgar?CIK=1841425</v>
      </c>
      <c r="V147" s="72" t="str">
        <f>IFERROR(__xludf.DUMMYFUNCTION("""COMPUTED_VALUE"""),"            ")</f>
        <v>            </v>
      </c>
      <c r="W147" s="73"/>
      <c r="X147" s="74"/>
      <c r="Y147" s="75"/>
      <c r="Z147" s="60"/>
      <c r="AA147" s="60"/>
      <c r="AB147" s="60"/>
      <c r="AC147" s="60"/>
      <c r="AD147" s="73"/>
      <c r="AE147" s="73"/>
      <c r="AF147" s="76"/>
      <c r="AG147" s="60"/>
    </row>
    <row r="148">
      <c r="A148" s="54" t="str">
        <f>IFERROR(__xludf.DUMMYFUNCTION("""COMPUTED_VALUE"""),"CFAC")</f>
        <v>CFAC</v>
      </c>
      <c r="B148" s="55" t="str">
        <f>IFERROR(__xludf.DUMMYFUNCTION("""COMPUTED_VALUE"""),"CF Finance Acquisition Corp. III")</f>
        <v>CF Finance Acquisition Corp. III</v>
      </c>
      <c r="C148" s="56" t="str">
        <f>IFERROR(__xludf.DUMMYFUNCTION("""COMPUTED_VALUE"""),"Definitive Agreement")</f>
        <v>Definitive Agreement</v>
      </c>
      <c r="D148" s="57"/>
      <c r="E148" s="58" t="str">
        <f>IFERROR(__xludf.DUMMYFUNCTION("""COMPUTED_VALUE"""),"AEye [DA: 02/17/21]")</f>
        <v>AEye [DA: 02/17/21]</v>
      </c>
      <c r="F148" s="59" t="str">
        <f>IFERROR(__xludf.DUMMYFUNCTION("""COMPUTED_VALUE"""),"Howard Lutnick (CEO, Cantor)")</f>
        <v>Howard Lutnick (CEO, Cantor)</v>
      </c>
      <c r="G148" s="60">
        <f>IFERROR(__xludf.DUMMYFUNCTION("""COMPUTED_VALUE"""),2.30000819E8)</f>
        <v>230000819</v>
      </c>
      <c r="H148" s="60">
        <f>IFERROR(__xludf.DUMMYFUNCTION("""COMPUTED_VALUE"""),2.3453E8)</f>
        <v>234530000</v>
      </c>
      <c r="I148" s="61">
        <f>IFERROR(__xludf.DUMMYFUNCTION("""COMPUTED_VALUE"""),9.98)</f>
        <v>9.98</v>
      </c>
      <c r="J148" s="62">
        <f>IFERROR(__xludf.DUMMYFUNCTION("""COMPUTED_VALUE"""),-0.001)</f>
        <v>-0.001</v>
      </c>
      <c r="K148" s="59">
        <f>IFERROR(__xludf.DUMMYFUNCTION("""COMPUTED_VALUE"""),10.43)</f>
        <v>10.43</v>
      </c>
      <c r="L148" s="63">
        <f>IFERROR(__xludf.DUMMYFUNCTION("""COMPUTED_VALUE"""),1.56)</f>
        <v>1.56</v>
      </c>
      <c r="M148" s="64" t="str">
        <f>IFERROR(__xludf.DUMMYFUNCTION("""COMPUTED_VALUE"""),"U: [1/3 W]; W: [1:1, $11.5]")</f>
        <v>U: [1/3 W]; W: [1:1, $11.5]</v>
      </c>
      <c r="N148" s="65" t="str">
        <f>IFERROR(__xludf.DUMMYFUNCTION("""COMPUTED_VALUE"""),"")</f>
        <v/>
      </c>
      <c r="O148" s="66">
        <f>IFERROR(__xludf.DUMMYFUNCTION("""COMPUTED_VALUE"""),0.0)</f>
        <v>0</v>
      </c>
      <c r="P148" s="67">
        <f>IFERROR(__xludf.DUMMYFUNCTION("""COMPUTED_VALUE"""),44147.0)</f>
        <v>44147</v>
      </c>
      <c r="Q148" s="68">
        <f>IFERROR(__xludf.DUMMYFUNCTION("""COMPUTED_VALUE"""),230.0)</f>
        <v>230</v>
      </c>
      <c r="R148" s="69" t="str">
        <f>IFERROR(__xludf.DUMMYFUNCTION("""COMPUTED_VALUE"""),"Cantor")</f>
        <v>Cantor</v>
      </c>
      <c r="S148" s="64">
        <f>IFERROR(__xludf.DUMMYFUNCTION("""COMPUTED_VALUE"""),44816.166666666664)</f>
        <v>44816.16667</v>
      </c>
      <c r="T148" s="70">
        <f>IFERROR(__xludf.DUMMYFUNCTION("""COMPUTED_VALUE"""),0.22266500622665086)</f>
        <v>0.2226650062</v>
      </c>
      <c r="U148" s="71" t="str">
        <f>IFERROR(__xludf.DUMMYFUNCTION("""COMPUTED_VALUE"""),"https://www.sec.gov/cgi-bin/browse-edgar?CIK=1818644")</f>
        <v>https://www.sec.gov/cgi-bin/browse-edgar?CIK=1818644</v>
      </c>
      <c r="V148" s="72" t="str">
        <f>IFERROR(__xludf.DUMMYFUNCTION("""COMPUTED_VALUE""")," Trading Below $10 (Common)    Optionable    Well-known Sponsor Serial Sponsor  ")</f>
        <v> Trading Below $10 (Common)    Optionable    Well-known Sponsor Serial Sponsor  </v>
      </c>
      <c r="W148" s="73">
        <f>IFERROR(__xludf.DUMMYFUNCTION("""COMPUTED_VALUE"""),44244.0)</f>
        <v>44244</v>
      </c>
      <c r="X148" s="79">
        <f>IFERROR(__xludf.DUMMYFUNCTION("""COMPUTED_VALUE"""),3.2333333333333334)</f>
        <v>3.233333333</v>
      </c>
      <c r="Y148" s="80" t="str">
        <f>IFERROR(__xludf.DUMMYFUNCTION("""COMPUTED_VALUE"""),"https://www.prnewswire.com/news-releases/aeye-global-leader-in-active-high-performance-lidar-solutions-to-go-public-through-merger-with-cf-finance-acquisition-corp-iii-301229720.html")</f>
        <v>https://www.prnewswire.com/news-releases/aeye-global-leader-in-active-high-performance-lidar-solutions-to-go-public-through-merger-with-cf-finance-acquisition-corp-iii-301229720.html</v>
      </c>
      <c r="Z148" s="81" t="str">
        <f>IFERROR(__xludf.DUMMYFUNCTION("""COMPUTED_VALUE"""),"https://www.sec.gov/Archives/edgar/data/1818644/000121390021009943/ea135852ex99-2_cffinance3.htm")</f>
        <v>https://www.sec.gov/Archives/edgar/data/1818644/000121390021009943/ea135852ex99-2_cffinance3.htm</v>
      </c>
      <c r="AA148" s="60">
        <f>IFERROR(__xludf.DUMMYFUNCTION("""COMPUTED_VALUE"""),2.25E8)</f>
        <v>225000000</v>
      </c>
      <c r="AB148" s="60">
        <f>IFERROR(__xludf.DUMMYFUNCTION("""COMPUTED_VALUE"""),2.418E9)</f>
        <v>2418000000</v>
      </c>
      <c r="AC148" s="60">
        <f>IFERROR(__xludf.DUMMYFUNCTION("""COMPUTED_VALUE"""),2.003E9)</f>
        <v>2003000000</v>
      </c>
      <c r="AD148" s="73"/>
      <c r="AE148" s="73"/>
      <c r="AF148" s="76">
        <f>IFERROR(__xludf.DUMMYFUNCTION("""COMPUTED_VALUE"""),2.418E8)</f>
        <v>241800000</v>
      </c>
      <c r="AG148" s="60">
        <f>IFERROR(__xludf.DUMMYFUNCTION("""COMPUTED_VALUE"""),2.413164E9)</f>
        <v>2413164000</v>
      </c>
    </row>
    <row r="149">
      <c r="A149" s="54" t="str">
        <f>IFERROR(__xludf.DUMMYFUNCTION("""COMPUTED_VALUE"""),"CFFE")</f>
        <v>CFFE</v>
      </c>
      <c r="B149" s="55" t="str">
        <f>IFERROR(__xludf.DUMMYFUNCTION("""COMPUTED_VALUE"""),"CF Acquisition Corp. VIII")</f>
        <v>CF Acquisition Corp. VIII</v>
      </c>
      <c r="C149" s="56" t="str">
        <f>IFERROR(__xludf.DUMMYFUNCTION("""COMPUTED_VALUE"""),"Searching (Pre Unit Split)")</f>
        <v>Searching (Pre Unit Split)</v>
      </c>
      <c r="D149" s="77" t="str">
        <f>IFERROR(__xludf.DUMMYFUNCTION("""COMPUTED_VALUE"""),"Financial Services, Healthcare, Real Estate Services, Tech, Software")</f>
        <v>Financial Services, Healthcare, Real Estate Services, Tech, Software</v>
      </c>
      <c r="E149" s="58"/>
      <c r="F149" s="59" t="str">
        <f>IFERROR(__xludf.DUMMYFUNCTION("""COMPUTED_VALUE"""),"Howard Lutnick (CEO, Cantor), Anshu Jain (President, Cantor; Fmr Co-CEO, Deutsche Bank)")</f>
        <v>Howard Lutnick (CEO, Cantor), Anshu Jain (President, Cantor; Fmr Co-CEO, Deutsche Bank)</v>
      </c>
      <c r="G149" s="60">
        <f>IFERROR(__xludf.DUMMYFUNCTION("""COMPUTED_VALUE"""),2.5E8)</f>
        <v>250000000</v>
      </c>
      <c r="H149" s="60" t="str">
        <f>IFERROR(__xludf.DUMMYFUNCTION("""COMPUTED_VALUE""")," ")</f>
        <v> </v>
      </c>
      <c r="I149" s="61" t="str">
        <f>IFERROR(__xludf.DUMMYFUNCTION("""COMPUTED_VALUE""")," ")</f>
        <v> </v>
      </c>
      <c r="J149" s="62" t="str">
        <f>IFERROR(__xludf.DUMMYFUNCTION("""COMPUTED_VALUE""")," ")</f>
        <v> </v>
      </c>
      <c r="K149" s="59">
        <f>IFERROR(__xludf.DUMMYFUNCTION("""COMPUTED_VALUE"""),10.06)</f>
        <v>10.06</v>
      </c>
      <c r="L149" s="63" t="str">
        <f>IFERROR(__xludf.DUMMYFUNCTION("""COMPUTED_VALUE""")," ")</f>
        <v> </v>
      </c>
      <c r="M149" s="64" t="str">
        <f>IFERROR(__xludf.DUMMYFUNCTION("""COMPUTED_VALUE"""),"U: [1/4 W]; W: [1:1, $11.5]")</f>
        <v>U: [1/4 W]; W: [1:1, $11.5]</v>
      </c>
      <c r="N149" s="65">
        <f>IFERROR(__xludf.DUMMYFUNCTION("""COMPUTED_VALUE"""),44318.0)</f>
        <v>44318</v>
      </c>
      <c r="O149" s="66" t="str">
        <f>IFERROR(__xludf.DUMMYFUNCTION("""COMPUTED_VALUE"""),"")</f>
        <v/>
      </c>
      <c r="P149" s="67">
        <f>IFERROR(__xludf.DUMMYFUNCTION("""COMPUTED_VALUE"""),44266.0)</f>
        <v>44266</v>
      </c>
      <c r="Q149" s="68">
        <f>IFERROR(__xludf.DUMMYFUNCTION("""COMPUTED_VALUE"""),250.0)</f>
        <v>250</v>
      </c>
      <c r="R149" s="69" t="str">
        <f>IFERROR(__xludf.DUMMYFUNCTION("""COMPUTED_VALUE"""),"Cantor")</f>
        <v>Cantor</v>
      </c>
      <c r="S149" s="64">
        <f>IFERROR(__xludf.DUMMYFUNCTION("""COMPUTED_VALUE"""),44996.0)</f>
        <v>44996</v>
      </c>
      <c r="T149" s="70">
        <f>IFERROR(__xludf.DUMMYFUNCTION("""COMPUTED_VALUE"""),0.0410958904109589)</f>
        <v>0.04109589041</v>
      </c>
      <c r="U149" s="71" t="str">
        <f>IFERROR(__xludf.DUMMYFUNCTION("""COMPUTED_VALUE"""),"https://www.sec.gov/cgi-bin/browse-edgar?CIK=1839530")</f>
        <v>https://www.sec.gov/cgi-bin/browse-edgar?CIK=1839530</v>
      </c>
      <c r="V149" s="72" t="str">
        <f>IFERROR(__xludf.DUMMYFUNCTION("""COMPUTED_VALUE"""),"         Well-known Sponsor Serial Sponsor  ")</f>
        <v>         Well-known Sponsor Serial Sponsor  </v>
      </c>
      <c r="W149" s="73"/>
      <c r="X149" s="74"/>
      <c r="Y149" s="75"/>
      <c r="Z149" s="60"/>
      <c r="AA149" s="60"/>
      <c r="AB149" s="60"/>
      <c r="AC149" s="60"/>
      <c r="AD149" s="73"/>
      <c r="AE149" s="73"/>
      <c r="AF149" s="76"/>
      <c r="AG149" s="60"/>
    </row>
    <row r="150">
      <c r="A150" s="54" t="str">
        <f>IFERROR(__xludf.DUMMYFUNCTION("""COMPUTED_VALUE"""),"CFFS")</f>
        <v>CFFS</v>
      </c>
      <c r="B150" s="55" t="str">
        <f>IFERROR(__xludf.DUMMYFUNCTION("""COMPUTED_VALUE"""),"CF Acquisition Corp. VII")</f>
        <v>CF Acquisition Corp. VII</v>
      </c>
      <c r="C150" s="56" t="str">
        <f>IFERROR(__xludf.DUMMYFUNCTION("""COMPUTED_VALUE"""),"Pre IPO")</f>
        <v>Pre IPO</v>
      </c>
      <c r="D150" s="77" t="str">
        <f>IFERROR(__xludf.DUMMYFUNCTION("""COMPUTED_VALUE"""),"Financial Services, Healthcare, Real Estate Services, Tech, Software")</f>
        <v>Financial Services, Healthcare, Real Estate Services, Tech, Software</v>
      </c>
      <c r="E150" s="58"/>
      <c r="F150" s="59" t="str">
        <f>IFERROR(__xludf.DUMMYFUNCTION("""COMPUTED_VALUE"""),"Howard Lutnick (CEO, Cantor), Anshu Jain (President, Cantor; Fmr Co-CEO, Deutsche Bank)")</f>
        <v>Howard Lutnick (CEO, Cantor), Anshu Jain (President, Cantor; Fmr Co-CEO, Deutsche Bank)</v>
      </c>
      <c r="G150" s="60">
        <f>IFERROR(__xludf.DUMMYFUNCTION("""COMPUTED_VALUE"""),1.75E8)</f>
        <v>175000000</v>
      </c>
      <c r="H150" s="60" t="str">
        <f>IFERROR(__xludf.DUMMYFUNCTION("""COMPUTED_VALUE""")," ")</f>
        <v> </v>
      </c>
      <c r="I150" s="61" t="str">
        <f>IFERROR(__xludf.DUMMYFUNCTION("""COMPUTED_VALUE""")," ")</f>
        <v> </v>
      </c>
      <c r="J150" s="62" t="str">
        <f>IFERROR(__xludf.DUMMYFUNCTION("""COMPUTED_VALUE""")," ")</f>
        <v> </v>
      </c>
      <c r="K150" s="59" t="str">
        <f>IFERROR(__xludf.DUMMYFUNCTION("""COMPUTED_VALUE""")," ")</f>
        <v> </v>
      </c>
      <c r="L150" s="63" t="str">
        <f>IFERROR(__xludf.DUMMYFUNCTION("""COMPUTED_VALUE""")," ")</f>
        <v> </v>
      </c>
      <c r="M150" s="64" t="str">
        <f>IFERROR(__xludf.DUMMYFUNCTION("""COMPUTED_VALUE"""),"U: [1/4 W]; W: [1:1, $11.5]")</f>
        <v>U: [1/4 W]; W: [1:1, $11.5]</v>
      </c>
      <c r="N150" s="65" t="str">
        <f>IFERROR(__xludf.DUMMYFUNCTION("""COMPUTED_VALUE"""),"")</f>
        <v/>
      </c>
      <c r="O150" s="66" t="str">
        <f>IFERROR(__xludf.DUMMYFUNCTION("""COMPUTED_VALUE"""),"")</f>
        <v/>
      </c>
      <c r="P150" s="67"/>
      <c r="Q150" s="68">
        <f>IFERROR(__xludf.DUMMYFUNCTION("""COMPUTED_VALUE"""),175.0)</f>
        <v>175</v>
      </c>
      <c r="R150" s="69" t="str">
        <f>IFERROR(__xludf.DUMMYFUNCTION("""COMPUTED_VALUE"""),"Cantor")</f>
        <v>Cantor</v>
      </c>
      <c r="S150" s="64">
        <f>IFERROR(__xludf.DUMMYFUNCTION("""COMPUTED_VALUE"""),45086.0)</f>
        <v>45086</v>
      </c>
      <c r="T150" s="70" t="str">
        <f>IFERROR(__xludf.DUMMYFUNCTION("""COMPUTED_VALUE"""),"")</f>
        <v/>
      </c>
      <c r="U150" s="71" t="str">
        <f>IFERROR(__xludf.DUMMYFUNCTION("""COMPUTED_VALUE"""),"https://www.sec.gov/cgi-bin/browse-edgar?CIK=1839519")</f>
        <v>https://www.sec.gov/cgi-bin/browse-edgar?CIK=1839519</v>
      </c>
      <c r="V150" s="72" t="str">
        <f>IFERROR(__xludf.DUMMYFUNCTION("""COMPUTED_VALUE"""),"         Well-known Sponsor Serial Sponsor  ")</f>
        <v>         Well-known Sponsor Serial Sponsor  </v>
      </c>
      <c r="W150" s="73"/>
      <c r="X150" s="74"/>
      <c r="Y150" s="75"/>
      <c r="Z150" s="60"/>
      <c r="AA150" s="60"/>
      <c r="AB150" s="60"/>
      <c r="AC150" s="60"/>
      <c r="AD150" s="73"/>
      <c r="AE150" s="73"/>
      <c r="AF150" s="76"/>
      <c r="AG150" s="60"/>
    </row>
    <row r="151">
      <c r="A151" s="54" t="str">
        <f>IFERROR(__xludf.DUMMYFUNCTION("""COMPUTED_VALUE"""),"CFIV")</f>
        <v>CFIV</v>
      </c>
      <c r="B151" s="55" t="str">
        <f>IFERROR(__xludf.DUMMYFUNCTION("""COMPUTED_VALUE"""),"CF Acquisition Corp. IV")</f>
        <v>CF Acquisition Corp. IV</v>
      </c>
      <c r="C151" s="56" t="str">
        <f>IFERROR(__xludf.DUMMYFUNCTION("""COMPUTED_VALUE"""),"Searching")</f>
        <v>Searching</v>
      </c>
      <c r="D151" s="57" t="str">
        <f>IFERROR(__xludf.DUMMYFUNCTION("""COMPUTED_VALUE"""),"Financial services, Healthcare, Real estate services, Tech and Software ")</f>
        <v>Financial services, Healthcare, Real estate services, Tech and Software </v>
      </c>
      <c r="E151" s="58"/>
      <c r="F151" s="59" t="str">
        <f>IFERROR(__xludf.DUMMYFUNCTION("""COMPUTED_VALUE"""),"Howard Lutnick (CEO, Cantor)")</f>
        <v>Howard Lutnick (CEO, Cantor)</v>
      </c>
      <c r="G151" s="60">
        <f>IFERROR(__xludf.DUMMYFUNCTION("""COMPUTED_VALUE"""),5.0E8)</f>
        <v>500000000</v>
      </c>
      <c r="H151" s="60">
        <f>IFERROR(__xludf.DUMMYFUNCTION("""COMPUTED_VALUE"""),5.0235E8)</f>
        <v>502350000</v>
      </c>
      <c r="I151" s="61">
        <f>IFERROR(__xludf.DUMMYFUNCTION("""COMPUTED_VALUE"""),9.85)</f>
        <v>9.85</v>
      </c>
      <c r="J151" s="62">
        <f>IFERROR(__xludf.DUMMYFUNCTION("""COMPUTED_VALUE"""),0.00305)</f>
        <v>0.00305</v>
      </c>
      <c r="K151" s="59">
        <f>IFERROR(__xludf.DUMMYFUNCTION("""COMPUTED_VALUE"""),10.18)</f>
        <v>10.18</v>
      </c>
      <c r="L151" s="63">
        <f>IFERROR(__xludf.DUMMYFUNCTION("""COMPUTED_VALUE"""),0.94)</f>
        <v>0.94</v>
      </c>
      <c r="M151" s="64" t="str">
        <f>IFERROR(__xludf.DUMMYFUNCTION("""COMPUTED_VALUE"""),"U: [1/3 W]; W: [1:1, $11.5]")</f>
        <v>U: [1/3 W]; W: [1:1, $11.5]</v>
      </c>
      <c r="N151" s="65" t="str">
        <f>IFERROR(__xludf.DUMMYFUNCTION("""COMPUTED_VALUE"""),"")</f>
        <v/>
      </c>
      <c r="O151" s="66">
        <f>IFERROR(__xludf.DUMMYFUNCTION("""COMPUTED_VALUE"""),0.0)</f>
        <v>0</v>
      </c>
      <c r="P151" s="67">
        <f>IFERROR(__xludf.DUMMYFUNCTION("""COMPUTED_VALUE"""),44187.0)</f>
        <v>44187</v>
      </c>
      <c r="Q151" s="68">
        <f>IFERROR(__xludf.DUMMYFUNCTION("""COMPUTED_VALUE"""),500.0)</f>
        <v>500</v>
      </c>
      <c r="R151" s="69" t="str">
        <f>IFERROR(__xludf.DUMMYFUNCTION("""COMPUTED_VALUE"""),"Cantor")</f>
        <v>Cantor</v>
      </c>
      <c r="S151" s="64">
        <f>IFERROR(__xludf.DUMMYFUNCTION("""COMPUTED_VALUE"""),44917.0)</f>
        <v>44917</v>
      </c>
      <c r="T151" s="70">
        <f>IFERROR(__xludf.DUMMYFUNCTION("""COMPUTED_VALUE"""),0.14931506849315068)</f>
        <v>0.1493150685</v>
      </c>
      <c r="U151" s="71" t="str">
        <f>IFERROR(__xludf.DUMMYFUNCTION("""COMPUTED_VALUE"""),"https://www.sec.gov/cgi-bin/browse-edgar?CIK=1825249")</f>
        <v>https://www.sec.gov/cgi-bin/browse-edgar?CIK=1825249</v>
      </c>
      <c r="V151" s="72" t="str">
        <f>IFERROR(__xludf.DUMMYFUNCTION("""COMPUTED_VALUE""")," Trading Below $10 (Common)  $500M+ Trust     Well-known Sponsor Serial Sponsor  ")</f>
        <v> Trading Below $10 (Common)  $500M+ Trust     Well-known Sponsor Serial Sponsor  </v>
      </c>
      <c r="W151" s="73"/>
      <c r="X151" s="74"/>
      <c r="Y151" s="75"/>
      <c r="Z151" s="60"/>
      <c r="AA151" s="60"/>
      <c r="AB151" s="60"/>
      <c r="AC151" s="60"/>
      <c r="AD151" s="73"/>
      <c r="AE151" s="73"/>
      <c r="AF151" s="76"/>
      <c r="AG151" s="60" t="str">
        <f>IFERROR(__xludf.DUMMYFUNCTION("""COMPUTED_VALUE"""),"")</f>
        <v/>
      </c>
    </row>
    <row r="152">
      <c r="A152" s="54" t="str">
        <f>IFERROR(__xludf.DUMMYFUNCTION("""COMPUTED_VALUE"""),"CFV")</f>
        <v>CFV</v>
      </c>
      <c r="B152" s="55" t="str">
        <f>IFERROR(__xludf.DUMMYFUNCTION("""COMPUTED_VALUE"""),"CF Acquisition Corp. V")</f>
        <v>CF Acquisition Corp. V</v>
      </c>
      <c r="C152" s="56" t="str">
        <f>IFERROR(__xludf.DUMMYFUNCTION("""COMPUTED_VALUE"""),"Searching")</f>
        <v>Searching</v>
      </c>
      <c r="D152" s="57" t="str">
        <f>IFERROR(__xludf.DUMMYFUNCTION("""COMPUTED_VALUE"""),"Financial services, Healthcare, Real estate services, Tech and Software ")</f>
        <v>Financial services, Healthcare, Real estate services, Tech and Software </v>
      </c>
      <c r="E152" s="58"/>
      <c r="F152" s="59" t="str">
        <f>IFERROR(__xludf.DUMMYFUNCTION("""COMPUTED_VALUE"""),"Howard Lutnick (CEO, Cantor)")</f>
        <v>Howard Lutnick (CEO, Cantor)</v>
      </c>
      <c r="G152" s="60">
        <f>IFERROR(__xludf.DUMMYFUNCTION("""COMPUTED_VALUE"""),2.5E8)</f>
        <v>250000000</v>
      </c>
      <c r="H152" s="60">
        <f>IFERROR(__xludf.DUMMYFUNCTION("""COMPUTED_VALUE"""),4.94E8)</f>
        <v>494000000</v>
      </c>
      <c r="I152" s="61">
        <f>IFERROR(__xludf.DUMMYFUNCTION("""COMPUTED_VALUE"""),9.88)</f>
        <v>9.88</v>
      </c>
      <c r="J152" s="62">
        <f>IFERROR(__xludf.DUMMYFUNCTION("""COMPUTED_VALUE"""),0.00816)</f>
        <v>0.00816</v>
      </c>
      <c r="K152" s="59" t="str">
        <f>IFERROR(__xludf.DUMMYFUNCTION("""COMPUTED_VALUE""")," ")</f>
        <v> </v>
      </c>
      <c r="L152" s="63" t="str">
        <f>IFERROR(__xludf.DUMMYFUNCTION("""COMPUTED_VALUE""")," ")</f>
        <v> </v>
      </c>
      <c r="M152" s="64" t="str">
        <f>IFERROR(__xludf.DUMMYFUNCTION("""COMPUTED_VALUE"""),"U: [1/3 W]; W: [1:1, $11.5]")</f>
        <v>U: [1/3 W]; W: [1:1, $11.5]</v>
      </c>
      <c r="N152" s="65">
        <f>IFERROR(__xludf.DUMMYFUNCTION("""COMPUTED_VALUE"""),44277.0)</f>
        <v>44277</v>
      </c>
      <c r="O152" s="66">
        <f>IFERROR(__xludf.DUMMYFUNCTION("""COMPUTED_VALUE"""),0.0)</f>
        <v>0</v>
      </c>
      <c r="P152" s="67">
        <f>IFERROR(__xludf.DUMMYFUNCTION("""COMPUTED_VALUE"""),44224.0)</f>
        <v>44224</v>
      </c>
      <c r="Q152" s="68">
        <f>IFERROR(__xludf.DUMMYFUNCTION("""COMPUTED_VALUE"""),250.0)</f>
        <v>250</v>
      </c>
      <c r="R152" s="69" t="str">
        <f>IFERROR(__xludf.DUMMYFUNCTION("""COMPUTED_VALUE"""),"Cantor")</f>
        <v>Cantor</v>
      </c>
      <c r="S152" s="64">
        <f>IFERROR(__xludf.DUMMYFUNCTION("""COMPUTED_VALUE"""),44954.0)</f>
        <v>44954</v>
      </c>
      <c r="T152" s="70">
        <f>IFERROR(__xludf.DUMMYFUNCTION("""COMPUTED_VALUE"""),0.09863013698630137)</f>
        <v>0.09863013699</v>
      </c>
      <c r="U152" s="71" t="str">
        <f>IFERROR(__xludf.DUMMYFUNCTION("""COMPUTED_VALUE"""),"https://www.sec.gov/cgi-bin/browse-edgar?CIK=1828049")</f>
        <v>https://www.sec.gov/cgi-bin/browse-edgar?CIK=1828049</v>
      </c>
      <c r="V152" s="72" t="str">
        <f>IFERROR(__xludf.DUMMYFUNCTION("""COMPUTED_VALUE""")," Trading Below $10 (Common)        Well-known Sponsor Serial Sponsor  ")</f>
        <v> Trading Below $10 (Common)        Well-known Sponsor Serial Sponsor  </v>
      </c>
      <c r="W152" s="73"/>
      <c r="X152" s="74"/>
      <c r="Y152" s="75"/>
      <c r="Z152" s="60"/>
      <c r="AA152" s="60"/>
      <c r="AB152" s="60"/>
      <c r="AC152" s="60"/>
      <c r="AD152" s="73"/>
      <c r="AE152" s="73"/>
      <c r="AF152" s="76"/>
      <c r="AG152" s="60" t="str">
        <f>IFERROR(__xludf.DUMMYFUNCTION("""COMPUTED_VALUE"""),"")</f>
        <v/>
      </c>
    </row>
    <row r="153">
      <c r="A153" s="54" t="str">
        <f>IFERROR(__xludf.DUMMYFUNCTION("""COMPUTED_VALUE"""),"CFVI")</f>
        <v>CFVI</v>
      </c>
      <c r="B153" s="55" t="str">
        <f>IFERROR(__xludf.DUMMYFUNCTION("""COMPUTED_VALUE"""),"CF Acquisition Corp. VI")</f>
        <v>CF Acquisition Corp. VI</v>
      </c>
      <c r="C153" s="56" t="str">
        <f>IFERROR(__xludf.DUMMYFUNCTION("""COMPUTED_VALUE"""),"Searching (Pre Unit Split)")</f>
        <v>Searching (Pre Unit Split)</v>
      </c>
      <c r="D153" s="57" t="str">
        <f>IFERROR(__xludf.DUMMYFUNCTION("""COMPUTED_VALUE"""),"Financial services, Healthcare, Real estate services, Tech and Software ")</f>
        <v>Financial services, Healthcare, Real estate services, Tech and Software </v>
      </c>
      <c r="E153" s="58"/>
      <c r="F153" s="59" t="str">
        <f>IFERROR(__xludf.DUMMYFUNCTION("""COMPUTED_VALUE"""),"Howard Lutnick (CEO, Cantor)")</f>
        <v>Howard Lutnick (CEO, Cantor)</v>
      </c>
      <c r="G153" s="60">
        <f>IFERROR(__xludf.DUMMYFUNCTION("""COMPUTED_VALUE"""),3.0E8)</f>
        <v>300000000</v>
      </c>
      <c r="H153" s="60" t="str">
        <f>IFERROR(__xludf.DUMMYFUNCTION("""COMPUTED_VALUE""")," ")</f>
        <v> </v>
      </c>
      <c r="I153" s="61" t="str">
        <f>IFERROR(__xludf.DUMMYFUNCTION("""COMPUTED_VALUE""")," ")</f>
        <v> </v>
      </c>
      <c r="J153" s="62" t="str">
        <f>IFERROR(__xludf.DUMMYFUNCTION("""COMPUTED_VALUE""")," ")</f>
        <v> </v>
      </c>
      <c r="K153" s="59">
        <f>IFERROR(__xludf.DUMMYFUNCTION("""COMPUTED_VALUE"""),10.0)</f>
        <v>10</v>
      </c>
      <c r="L153" s="63" t="str">
        <f>IFERROR(__xludf.DUMMYFUNCTION("""COMPUTED_VALUE""")," ")</f>
        <v> </v>
      </c>
      <c r="M153" s="64" t="str">
        <f>IFERROR(__xludf.DUMMYFUNCTION("""COMPUTED_VALUE"""),"U: [1/4 W]; W: [1:1, $11.5]")</f>
        <v>U: [1/4 W]; W: [1:1, $11.5]</v>
      </c>
      <c r="N153" s="65">
        <f>IFERROR(__xludf.DUMMYFUNCTION("""COMPUTED_VALUE"""),44298.0)</f>
        <v>44298</v>
      </c>
      <c r="O153" s="66" t="str">
        <f>IFERROR(__xludf.DUMMYFUNCTION("""COMPUTED_VALUE"""),"")</f>
        <v/>
      </c>
      <c r="P153" s="67">
        <f>IFERROR(__xludf.DUMMYFUNCTION("""COMPUTED_VALUE"""),44245.0)</f>
        <v>44245</v>
      </c>
      <c r="Q153" s="68">
        <f>IFERROR(__xludf.DUMMYFUNCTION("""COMPUTED_VALUE"""),300.0)</f>
        <v>300</v>
      </c>
      <c r="R153" s="69" t="str">
        <f>IFERROR(__xludf.DUMMYFUNCTION("""COMPUTED_VALUE"""),"Cantor")</f>
        <v>Cantor</v>
      </c>
      <c r="S153" s="64">
        <f>IFERROR(__xludf.DUMMYFUNCTION("""COMPUTED_VALUE"""),44975.0)</f>
        <v>44975</v>
      </c>
      <c r="T153" s="70">
        <f>IFERROR(__xludf.DUMMYFUNCTION("""COMPUTED_VALUE"""),0.06986301369863014)</f>
        <v>0.0698630137</v>
      </c>
      <c r="U153" s="71" t="str">
        <f>IFERROR(__xludf.DUMMYFUNCTION("""COMPUTED_VALUE"""),"https://www.sec.gov/cgi-bin/browse-edgar?CIK=1830081")</f>
        <v>https://www.sec.gov/cgi-bin/browse-edgar?CIK=1830081</v>
      </c>
      <c r="V153" s="72" t="str">
        <f>IFERROR(__xludf.DUMMYFUNCTION("""COMPUTED_VALUE"""),"         Well-known Sponsor Serial Sponsor  ")</f>
        <v>         Well-known Sponsor Serial Sponsor  </v>
      </c>
      <c r="W153" s="73"/>
      <c r="X153" s="74"/>
      <c r="Y153" s="75"/>
      <c r="Z153" s="60"/>
      <c r="AA153" s="60"/>
      <c r="AB153" s="60"/>
      <c r="AC153" s="60"/>
      <c r="AD153" s="73"/>
      <c r="AE153" s="73"/>
      <c r="AF153" s="76"/>
      <c r="AG153" s="60" t="str">
        <f>IFERROR(__xludf.DUMMYFUNCTION("""COMPUTED_VALUE"""),"")</f>
        <v/>
      </c>
    </row>
    <row r="154">
      <c r="A154" s="54" t="str">
        <f>IFERROR(__xludf.DUMMYFUNCTION("""COMPUTED_VALUE"""),"CGRO")</f>
        <v>CGRO</v>
      </c>
      <c r="B154" s="55" t="str">
        <f>IFERROR(__xludf.DUMMYFUNCTION("""COMPUTED_VALUE"""),"Collective Growth Corp")</f>
        <v>Collective Growth Corp</v>
      </c>
      <c r="C154" s="56" t="str">
        <f>IFERROR(__xludf.DUMMYFUNCTION("""COMPUTED_VALUE"""),"Completed")</f>
        <v>Completed</v>
      </c>
      <c r="D154" s="57" t="str">
        <f>IFERROR(__xludf.DUMMYFUNCTION("""COMPUTED_VALUE"""),"Cannabis")</f>
        <v>Cannabis</v>
      </c>
      <c r="E154" s="58" t="str">
        <f>IFERROR(__xludf.DUMMYFUNCTION("""COMPUTED_VALUE"""),"Innoviz Technologies [DA: 12/10/20]")</f>
        <v>Innoviz Technologies [DA: 12/10/20]</v>
      </c>
      <c r="F154" s="59"/>
      <c r="G154" s="60">
        <f>IFERROR(__xludf.DUMMYFUNCTION("""COMPUTED_VALUE"""),1.50100083E8)</f>
        <v>150100083</v>
      </c>
      <c r="H154" s="60">
        <f>IFERROR(__xludf.DUMMYFUNCTION("""COMPUTED_VALUE"""),1.48809375E8)</f>
        <v>148809375</v>
      </c>
      <c r="I154" s="61">
        <f>IFERROR(__xludf.DUMMYFUNCTION("""COMPUTED_VALUE"""),9.75)</f>
        <v>9.75</v>
      </c>
      <c r="J154" s="62">
        <f>IFERROR(__xludf.DUMMYFUNCTION("""COMPUTED_VALUE"""),0.03393)</f>
        <v>0.03393</v>
      </c>
      <c r="K154" s="59">
        <f>IFERROR(__xludf.DUMMYFUNCTION("""COMPUTED_VALUE"""),11.2)</f>
        <v>11.2</v>
      </c>
      <c r="L154" s="63">
        <f>IFERROR(__xludf.DUMMYFUNCTION("""COMPUTED_VALUE"""),2.37)</f>
        <v>2.37</v>
      </c>
      <c r="M154" s="64" t="str">
        <f>IFERROR(__xludf.DUMMYFUNCTION("""COMPUTED_VALUE"""),"U: [1/2 W]; W: [1:1, $11.5]")</f>
        <v>U: [1/2 W]; W: [1:1, $11.5]</v>
      </c>
      <c r="N154" s="65" t="str">
        <f>IFERROR(__xludf.DUMMYFUNCTION("""COMPUTED_VALUE"""),"")</f>
        <v/>
      </c>
      <c r="O154" s="66">
        <f>IFERROR(__xludf.DUMMYFUNCTION("""COMPUTED_VALUE"""),0.0)</f>
        <v>0</v>
      </c>
      <c r="P154" s="67">
        <f>IFERROR(__xludf.DUMMYFUNCTION("""COMPUTED_VALUE"""),43952.0)</f>
        <v>43952</v>
      </c>
      <c r="Q154" s="68">
        <f>IFERROR(__xludf.DUMMYFUNCTION("""COMPUTED_VALUE"""),150.0)</f>
        <v>150</v>
      </c>
      <c r="R154" s="69" t="str">
        <f>IFERROR(__xludf.DUMMYFUNCTION("""COMPUTED_VALUE"""),"Cantor")</f>
        <v>Cantor</v>
      </c>
      <c r="S154" s="64">
        <f>IFERROR(__xludf.DUMMYFUNCTION("""COMPUTED_VALUE"""),44682.0)</f>
        <v>44682</v>
      </c>
      <c r="T154" s="70">
        <f>IFERROR(__xludf.DUMMYFUNCTION("""COMPUTED_VALUE"""),0.4712328767123288)</f>
        <v>0.4712328767</v>
      </c>
      <c r="U154" s="71" t="str">
        <f>IFERROR(__xludf.DUMMYFUNCTION("""COMPUTED_VALUE"""),"https://www.sec.gov/cgi-bin/browse-edgar?CIK=1799611")</f>
        <v>https://www.sec.gov/cgi-bin/browse-edgar?CIK=1799611</v>
      </c>
      <c r="V154" s="72" t="str">
        <f>IFERROR(__xludf.DUMMYFUNCTION("""COMPUTED_VALUE""")," Trading Below $10 (Common)    Optionable       ")</f>
        <v> Trading Below $10 (Common)    Optionable       </v>
      </c>
      <c r="W154" s="73">
        <f>IFERROR(__xludf.DUMMYFUNCTION("""COMPUTED_VALUE"""),44175.0)</f>
        <v>44175</v>
      </c>
      <c r="X154" s="79">
        <f>IFERROR(__xludf.DUMMYFUNCTION("""COMPUTED_VALUE"""),7.433333333333334)</f>
        <v>7.433333333</v>
      </c>
      <c r="Y154" s="80" t="str">
        <f>IFERROR(__xludf.DUMMYFUNCTION("""COMPUTED_VALUE"""),"https://www.prnewswire.com/news-releases/innoviz-technologies-a-global-leader-in-lidar-sensors-and-perception-software-for-autonomous-driving-to-be-listed-on-nasdaq-through-business-combination-with-collective-growth-corporation-301191049.html")</f>
        <v>https://www.prnewswire.com/news-releases/innoviz-technologies-a-global-leader-in-lidar-sensors-and-perception-software-for-autonomous-driving-to-be-listed-on-nasdaq-through-business-combination-with-collective-growth-corporation-301191049.html</v>
      </c>
      <c r="Z154" s="81" t="str">
        <f>IFERROR(__xludf.DUMMYFUNCTION("""COMPUTED_VALUE"""),"https://innoviz.tech/wp-content/uploads/Project-Ignition-Announcement-Presentation_FinalDec11.pdf")</f>
        <v>https://innoviz.tech/wp-content/uploads/Project-Ignition-Announcement-Presentation_FinalDec11.pdf</v>
      </c>
      <c r="AA154" s="60">
        <f>IFERROR(__xludf.DUMMYFUNCTION("""COMPUTED_VALUE"""),2.3E8)</f>
        <v>230000000</v>
      </c>
      <c r="AB154" s="60">
        <f>IFERROR(__xludf.DUMMYFUNCTION("""COMPUTED_VALUE"""),1.403E9)</f>
        <v>1403000000</v>
      </c>
      <c r="AC154" s="60">
        <f>IFERROR(__xludf.DUMMYFUNCTION("""COMPUTED_VALUE"""),1.033E9)</f>
        <v>1033000000</v>
      </c>
      <c r="AD154" s="73">
        <f>IFERROR(__xludf.DUMMYFUNCTION("""COMPUTED_VALUE"""),44286.0)</f>
        <v>44286</v>
      </c>
      <c r="AE154" s="73">
        <f>IFERROR(__xludf.DUMMYFUNCTION("""COMPUTED_VALUE"""),44284.0)</f>
        <v>44284</v>
      </c>
      <c r="AF154" s="76">
        <f>IFERROR(__xludf.DUMMYFUNCTION("""COMPUTED_VALUE"""),1.403E8)</f>
        <v>140300000</v>
      </c>
      <c r="AG154" s="60">
        <f>IFERROR(__xludf.DUMMYFUNCTION("""COMPUTED_VALUE"""),1.367925E9)</f>
        <v>1367925000</v>
      </c>
    </row>
    <row r="155">
      <c r="A155" s="54" t="str">
        <f>IFERROR(__xludf.DUMMYFUNCTION("""COMPUTED_VALUE"""),"CHAA")</f>
        <v>CHAA</v>
      </c>
      <c r="B155" s="55" t="str">
        <f>IFERROR(__xludf.DUMMYFUNCTION("""COMPUTED_VALUE"""),"Catcha Investment Corp")</f>
        <v>Catcha Investment Corp</v>
      </c>
      <c r="C155" s="56" t="str">
        <f>IFERROR(__xludf.DUMMYFUNCTION("""COMPUTED_VALUE"""),"Searching")</f>
        <v>Searching</v>
      </c>
      <c r="D155" s="57" t="str">
        <f>IFERROR(__xludf.DUMMYFUNCTION("""COMPUTED_VALUE"""),"Tech, Digital Media, Fintech, Asia Pacific (focus on SE Asia &amp; Australia)")</f>
        <v>Tech, Digital Media, Fintech, Asia Pacific (focus on SE Asia &amp; Australia)</v>
      </c>
      <c r="E155" s="58"/>
      <c r="F155" s="59" t="str">
        <f>IFERROR(__xludf.DUMMYFUNCTION("""COMPUTED_VALUE"""),"Patrick Grove (Founder, Catcha Group), James Graf (Fmr CEO, Graf Industrial Corp: merged with VLDR)")</f>
        <v>Patrick Grove (Founder, Catcha Group), James Graf (Fmr CEO, Graf Industrial Corp: merged with VLDR)</v>
      </c>
      <c r="G155" s="60">
        <f>IFERROR(__xludf.DUMMYFUNCTION("""COMPUTED_VALUE"""),3.0E8)</f>
        <v>300000000</v>
      </c>
      <c r="H155" s="60"/>
      <c r="I155" s="61">
        <f>IFERROR(__xludf.DUMMYFUNCTION("""COMPUTED_VALUE"""),9.89)</f>
        <v>9.89</v>
      </c>
      <c r="J155" s="62">
        <f>IFERROR(__xludf.DUMMYFUNCTION("""COMPUTED_VALUE"""),0.01332)</f>
        <v>0.01332</v>
      </c>
      <c r="K155" s="59">
        <f>IFERROR(__xludf.DUMMYFUNCTION("""COMPUTED_VALUE"""),10.15)</f>
        <v>10.15</v>
      </c>
      <c r="L155" s="63">
        <f>IFERROR(__xludf.DUMMYFUNCTION("""COMPUTED_VALUE"""),0.83)</f>
        <v>0.83</v>
      </c>
      <c r="M155" s="64" t="str">
        <f>IFERROR(__xludf.DUMMYFUNCTION("""COMPUTED_VALUE"""),"U: [1/3 W]; W: [1:1, $11.5]")</f>
        <v>U: [1/3 W]; W: [1:1, $11.5]</v>
      </c>
      <c r="N155" s="65">
        <f>IFERROR(__xludf.DUMMYFUNCTION("""COMPUTED_VALUE"""),44291.0)</f>
        <v>44291</v>
      </c>
      <c r="O155" s="66">
        <f>IFERROR(__xludf.DUMMYFUNCTION("""COMPUTED_VALUE"""),0.0)</f>
        <v>0</v>
      </c>
      <c r="P155" s="67">
        <f>IFERROR(__xludf.DUMMYFUNCTION("""COMPUTED_VALUE"""),44238.0)</f>
        <v>44238</v>
      </c>
      <c r="Q155" s="68">
        <f>IFERROR(__xludf.DUMMYFUNCTION("""COMPUTED_VALUE"""),300.0)</f>
        <v>300</v>
      </c>
      <c r="R155" s="69" t="str">
        <f>IFERROR(__xludf.DUMMYFUNCTION("""COMPUTED_VALUE"""),"JP Morgan")</f>
        <v>JP Morgan</v>
      </c>
      <c r="S155" s="64">
        <f>IFERROR(__xludf.DUMMYFUNCTION("""COMPUTED_VALUE"""),44968.0)</f>
        <v>44968</v>
      </c>
      <c r="T155" s="70">
        <f>IFERROR(__xludf.DUMMYFUNCTION("""COMPUTED_VALUE"""),0.07945205479452055)</f>
        <v>0.07945205479</v>
      </c>
      <c r="U155" s="71" t="str">
        <f>IFERROR(__xludf.DUMMYFUNCTION("""COMPUTED_VALUE"""),"https://www.sec.gov/cgi-bin/browse-edgar?CIK=1838293")</f>
        <v>https://www.sec.gov/cgi-bin/browse-edgar?CIK=1838293</v>
      </c>
      <c r="V155" s="72" t="str">
        <f>IFERROR(__xludf.DUMMYFUNCTION("""COMPUTED_VALUE"""),"Venture Capital Trading Below $10 (Common)        Well-known Sponsor  Top Tier UW ")</f>
        <v>Venture Capital Trading Below $10 (Common)        Well-known Sponsor  Top Tier UW </v>
      </c>
      <c r="W155" s="73"/>
      <c r="X155" s="74"/>
      <c r="Y155" s="75"/>
      <c r="Z155" s="60"/>
      <c r="AA155" s="60"/>
      <c r="AB155" s="60"/>
      <c r="AC155" s="60"/>
      <c r="AD155" s="73"/>
      <c r="AE155" s="73"/>
      <c r="AF155" s="76"/>
      <c r="AG155" s="60" t="str">
        <f>IFERROR(__xludf.DUMMYFUNCTION("""COMPUTED_VALUE"""),"")</f>
        <v/>
      </c>
    </row>
    <row r="156">
      <c r="A156" s="54" t="str">
        <f>IFERROR(__xludf.DUMMYFUNCTION("""COMPUTED_VALUE"""),"CHAB")</f>
        <v>CHAB</v>
      </c>
      <c r="B156" s="55" t="str">
        <f>IFERROR(__xludf.DUMMYFUNCTION("""COMPUTED_VALUE"""),"Catcha Investment Corp 2.0")</f>
        <v>Catcha Investment Corp 2.0</v>
      </c>
      <c r="C156" s="56" t="str">
        <f>IFERROR(__xludf.DUMMYFUNCTION("""COMPUTED_VALUE"""),"Pre IPO")</f>
        <v>Pre IPO</v>
      </c>
      <c r="D156" s="57" t="str">
        <f>IFERROR(__xludf.DUMMYFUNCTION("""COMPUTED_VALUE"""),"Tech, Digital Media, Fintech, Asia Pacific (focus on SE Asia &amp; Australia)")</f>
        <v>Tech, Digital Media, Fintech, Asia Pacific (focus on SE Asia &amp; Australia)</v>
      </c>
      <c r="E156" s="58"/>
      <c r="F156" s="59" t="str">
        <f>IFERROR(__xludf.DUMMYFUNCTION("""COMPUTED_VALUE"""),"Patrick Grove (Founder of Catcha Group)")</f>
        <v>Patrick Grove (Founder of Catcha Group)</v>
      </c>
      <c r="G156" s="60">
        <f>IFERROR(__xludf.DUMMYFUNCTION("""COMPUTED_VALUE"""),2.5E8)</f>
        <v>250000000</v>
      </c>
      <c r="H156" s="60" t="str">
        <f>IFERROR(__xludf.DUMMYFUNCTION("""COMPUTED_VALUE""")," ")</f>
        <v> </v>
      </c>
      <c r="I156" s="61" t="str">
        <f>IFERROR(__xludf.DUMMYFUNCTION("""COMPUTED_VALUE""")," ")</f>
        <v> </v>
      </c>
      <c r="J156" s="62" t="str">
        <f>IFERROR(__xludf.DUMMYFUNCTION("""COMPUTED_VALUE""")," ")</f>
        <v> </v>
      </c>
      <c r="K156" s="59" t="str">
        <f>IFERROR(__xludf.DUMMYFUNCTION("""COMPUTED_VALUE""")," ")</f>
        <v> </v>
      </c>
      <c r="L156" s="63" t="str">
        <f>IFERROR(__xludf.DUMMYFUNCTION("""COMPUTED_VALUE""")," ")</f>
        <v> </v>
      </c>
      <c r="M156" s="64" t="str">
        <f>IFERROR(__xludf.DUMMYFUNCTION("""COMPUTED_VALUE"""),"U: [1/3 W]; W: [1:1, $11.5]")</f>
        <v>U: [1/3 W]; W: [1:1, $11.5]</v>
      </c>
      <c r="N156" s="65" t="str">
        <f>IFERROR(__xludf.DUMMYFUNCTION("""COMPUTED_VALUE"""),"")</f>
        <v/>
      </c>
      <c r="O156" s="66">
        <f>IFERROR(__xludf.DUMMYFUNCTION("""COMPUTED_VALUE"""),0.0)</f>
        <v>0</v>
      </c>
      <c r="P156" s="67"/>
      <c r="Q156" s="68">
        <f>IFERROR(__xludf.DUMMYFUNCTION("""COMPUTED_VALUE"""),250.0)</f>
        <v>250</v>
      </c>
      <c r="R156" s="69" t="str">
        <f>IFERROR(__xludf.DUMMYFUNCTION("""COMPUTED_VALUE"""),"J.P. Morgan")</f>
        <v>J.P. Morgan</v>
      </c>
      <c r="S156" s="64">
        <f>IFERROR(__xludf.DUMMYFUNCTION("""COMPUTED_VALUE"""),45086.0)</f>
        <v>45086</v>
      </c>
      <c r="T156" s="70" t="str">
        <f>IFERROR(__xludf.DUMMYFUNCTION("""COMPUTED_VALUE"""),"")</f>
        <v/>
      </c>
      <c r="U156" s="71" t="str">
        <f>IFERROR(__xludf.DUMMYFUNCTION("""COMPUTED_VALUE"""),"https://www.sec.gov/cgi-bin/browse-edgar?CIK=1848885")</f>
        <v>https://www.sec.gov/cgi-bin/browse-edgar?CIK=1848885</v>
      </c>
      <c r="V156" s="72" t="str">
        <f>IFERROR(__xludf.DUMMYFUNCTION("""COMPUTED_VALUE"""),"         Well-known Sponsor   ")</f>
        <v>         Well-known Sponsor   </v>
      </c>
      <c r="W156" s="73"/>
      <c r="X156" s="74"/>
      <c r="Y156" s="75"/>
      <c r="Z156" s="60"/>
      <c r="AA156" s="60"/>
      <c r="AB156" s="60"/>
      <c r="AC156" s="60"/>
      <c r="AD156" s="73"/>
      <c r="AE156" s="73"/>
      <c r="AF156" s="76"/>
      <c r="AG156" s="60"/>
    </row>
    <row r="157">
      <c r="A157" s="54" t="str">
        <f>IFERROR(__xludf.DUMMYFUNCTION("""COMPUTED_VALUE"""),"CHAQ")</f>
        <v>CHAQ</v>
      </c>
      <c r="B157" s="55" t="str">
        <f>IFERROR(__xludf.DUMMYFUNCTION("""COMPUTED_VALUE"""),"Chardan Healthcare Acquisition 2 Corp")</f>
        <v>Chardan Healthcare Acquisition 2 Corp</v>
      </c>
      <c r="C157" s="56" t="str">
        <f>IFERROR(__xludf.DUMMYFUNCTION("""COMPUTED_VALUE"""),"Definitive Agreement")</f>
        <v>Definitive Agreement</v>
      </c>
      <c r="D157" s="57" t="str">
        <f>IFERROR(__xludf.DUMMYFUNCTION("""COMPUTED_VALUE"""),"Healthcare")</f>
        <v>Healthcare</v>
      </c>
      <c r="E157" s="58" t="str">
        <f>IFERROR(__xludf.DUMMYFUNCTION("""COMPUTED_VALUE"""),"Renovacor [DA: 03/23/21]")</f>
        <v>Renovacor [DA: 03/23/21]</v>
      </c>
      <c r="F157" s="59" t="str">
        <f>IFERROR(__xludf.DUMMYFUNCTION("""COMPUTED_VALUE"""),"Chardan")</f>
        <v>Chardan</v>
      </c>
      <c r="G157" s="60">
        <f>IFERROR(__xludf.DUMMYFUNCTION("""COMPUTED_VALUE"""),8.6247631E7)</f>
        <v>86247631</v>
      </c>
      <c r="H157" s="60">
        <f>IFERROR(__xludf.DUMMYFUNCTION("""COMPUTED_VALUE"""),1.09292013E8)</f>
        <v>109292013</v>
      </c>
      <c r="I157" s="61">
        <f>IFERROR(__xludf.DUMMYFUNCTION("""COMPUTED_VALUE"""),10.14)</f>
        <v>10.14</v>
      </c>
      <c r="J157" s="62">
        <f>IFERROR(__xludf.DUMMYFUNCTION("""COMPUTED_VALUE"""),0.00148)</f>
        <v>0.00148</v>
      </c>
      <c r="K157" s="59" t="str">
        <f>IFERROR(__xludf.DUMMYFUNCTION("""COMPUTED_VALUE""")," ")</f>
        <v> </v>
      </c>
      <c r="L157" s="63">
        <f>IFERROR(__xludf.DUMMYFUNCTION("""COMPUTED_VALUE"""),0.86)</f>
        <v>0.86</v>
      </c>
      <c r="M157" s="64" t="str">
        <f>IFERROR(__xludf.DUMMYFUNCTION("""COMPUTED_VALUE"""),"U: [1 W]; W: [2:1, $11.5]")</f>
        <v>U: [1 W]; W: [2:1, $11.5]</v>
      </c>
      <c r="N157" s="65" t="str">
        <f>IFERROR(__xludf.DUMMYFUNCTION("""COMPUTED_VALUE"""),"")</f>
        <v/>
      </c>
      <c r="O157" s="66">
        <f>IFERROR(__xludf.DUMMYFUNCTION("""COMPUTED_VALUE"""),0.0)</f>
        <v>0</v>
      </c>
      <c r="P157" s="67">
        <f>IFERROR(__xludf.DUMMYFUNCTION("""COMPUTED_VALUE"""),43945.0)</f>
        <v>43945</v>
      </c>
      <c r="Q157" s="68">
        <f>IFERROR(__xludf.DUMMYFUNCTION("""COMPUTED_VALUE"""),85.0)</f>
        <v>85</v>
      </c>
      <c r="R157" s="69" t="str">
        <f>IFERROR(__xludf.DUMMYFUNCTION("""COMPUTED_VALUE"""),"Chardan")</f>
        <v>Chardan</v>
      </c>
      <c r="S157" s="64">
        <f>IFERROR(__xludf.DUMMYFUNCTION("""COMPUTED_VALUE"""),44675.0)</f>
        <v>44675</v>
      </c>
      <c r="T157" s="70">
        <f>IFERROR(__xludf.DUMMYFUNCTION("""COMPUTED_VALUE"""),0.4808219178082192)</f>
        <v>0.4808219178</v>
      </c>
      <c r="U157" s="71" t="str">
        <f>IFERROR(__xludf.DUMMYFUNCTION("""COMPUTED_VALUE"""),"https://www.sec.gov/cgi-bin/browse-edgar?CIK=1799850")</f>
        <v>https://www.sec.gov/cgi-bin/browse-edgar?CIK=1799850</v>
      </c>
      <c r="V157" s="72" t="str">
        <f>IFERROR(__xludf.DUMMYFUNCTION("""COMPUTED_VALUE"""),"            ")</f>
        <v>            </v>
      </c>
      <c r="W157" s="73">
        <f>IFERROR(__xludf.DUMMYFUNCTION("""COMPUTED_VALUE"""),44278.0)</f>
        <v>44278</v>
      </c>
      <c r="X157" s="79">
        <f>IFERROR(__xludf.DUMMYFUNCTION("""COMPUTED_VALUE"""),11.1)</f>
        <v>11.1</v>
      </c>
      <c r="Y157" s="80" t="str">
        <f>IFERROR(__xludf.DUMMYFUNCTION("""COMPUTED_VALUE"""),"https://www.prnewswire.com/news-releases/renovacor-inc-to-merge-with-chardan-healthcare-acquisition-2-corp-301253787.html")</f>
        <v>https://www.prnewswire.com/news-releases/renovacor-inc-to-merge-with-chardan-healthcare-acquisition-2-corp-301253787.html</v>
      </c>
      <c r="Z157" s="81" t="str">
        <f>IFERROR(__xludf.DUMMYFUNCTION("""COMPUTED_VALUE"""),"https://www.prnewswire.com/news-releases/renovacor-inc-to-merge-with-chardan-healthcare-acquisition-2-corp-301253787.html")</f>
        <v>https://www.prnewswire.com/news-releases/renovacor-inc-to-merge-with-chardan-healthcare-acquisition-2-corp-301253787.html</v>
      </c>
      <c r="AA157" s="60">
        <f>IFERROR(__xludf.DUMMYFUNCTION("""COMPUTED_VALUE"""),3.0E7)</f>
        <v>30000000</v>
      </c>
      <c r="AB157" s="60">
        <f>IFERROR(__xludf.DUMMYFUNCTION("""COMPUTED_VALUE"""),1.978E8)</f>
        <v>197800000</v>
      </c>
      <c r="AC157" s="60">
        <f>IFERROR(__xludf.DUMMYFUNCTION("""COMPUTED_VALUE"""),8.46E7)</f>
        <v>84600000</v>
      </c>
      <c r="AD157" s="73"/>
      <c r="AE157" s="73"/>
      <c r="AF157" s="76"/>
      <c r="AG157" s="60" t="str">
        <f>IFERROR(__xludf.DUMMYFUNCTION("""COMPUTED_VALUE"""),"")</f>
        <v/>
      </c>
    </row>
    <row r="158">
      <c r="A158" s="54" t="str">
        <f>IFERROR(__xludf.DUMMYFUNCTION("""COMPUTED_VALUE"""),"CHFW")</f>
        <v>CHFW</v>
      </c>
      <c r="B158" s="55" t="str">
        <f>IFERROR(__xludf.DUMMYFUNCTION("""COMPUTED_VALUE"""),"Consonance-HFW Acquisition Corp.")</f>
        <v>Consonance-HFW Acquisition Corp.</v>
      </c>
      <c r="C158" s="56" t="str">
        <f>IFERROR(__xludf.DUMMYFUNCTION("""COMPUTED_VALUE"""),"Searching")</f>
        <v>Searching</v>
      </c>
      <c r="D158" s="57" t="str">
        <f>IFERROR(__xludf.DUMMYFUNCTION("""COMPUTED_VALUE"""),"Life Sciences")</f>
        <v>Life Sciences</v>
      </c>
      <c r="E158" s="58"/>
      <c r="F158" s="59"/>
      <c r="G158" s="60">
        <f>IFERROR(__xludf.DUMMYFUNCTION("""COMPUTED_VALUE"""),9.2E7)</f>
        <v>92000000</v>
      </c>
      <c r="H158" s="60"/>
      <c r="I158" s="61">
        <f>IFERROR(__xludf.DUMMYFUNCTION("""COMPUTED_VALUE"""),9.96)</f>
        <v>9.96</v>
      </c>
      <c r="J158" s="62">
        <f>IFERROR(__xludf.DUMMYFUNCTION("""COMPUTED_VALUE"""),0.01633)</f>
        <v>0.01633</v>
      </c>
      <c r="K158" s="59">
        <f>IFERROR(__xludf.DUMMYFUNCTION("""COMPUTED_VALUE"""),10.3762)</f>
        <v>10.3762</v>
      </c>
      <c r="L158" s="63">
        <f>IFERROR(__xludf.DUMMYFUNCTION("""COMPUTED_VALUE"""),0.81)</f>
        <v>0.81</v>
      </c>
      <c r="M158" s="64" t="str">
        <f>IFERROR(__xludf.DUMMYFUNCTION("""COMPUTED_VALUE"""),"U: [1/3 W]; W: [1:1, $11.5]")</f>
        <v>U: [1/3 W]; W: [1:1, $11.5]</v>
      </c>
      <c r="N158" s="65" t="str">
        <f>IFERROR(__xludf.DUMMYFUNCTION("""COMPUTED_VALUE"""),"")</f>
        <v/>
      </c>
      <c r="O158" s="66">
        <f>IFERROR(__xludf.DUMMYFUNCTION("""COMPUTED_VALUE"""),0.0)</f>
        <v>0</v>
      </c>
      <c r="P158" s="67">
        <f>IFERROR(__xludf.DUMMYFUNCTION("""COMPUTED_VALUE"""),44153.0)</f>
        <v>44153</v>
      </c>
      <c r="Q158" s="68">
        <f>IFERROR(__xludf.DUMMYFUNCTION("""COMPUTED_VALUE"""),92.0)</f>
        <v>92</v>
      </c>
      <c r="R158" s="85" t="str">
        <f>IFERROR(__xludf.DUMMYFUNCTION("""COMPUTED_VALUE"""),"Citigroup")</f>
        <v>Citigroup</v>
      </c>
      <c r="S158" s="64">
        <f>IFERROR(__xludf.DUMMYFUNCTION("""COMPUTED_VALUE"""),44883.0)</f>
        <v>44883</v>
      </c>
      <c r="T158" s="70">
        <f>IFERROR(__xludf.DUMMYFUNCTION("""COMPUTED_VALUE"""),0.1958904109589041)</f>
        <v>0.195890411</v>
      </c>
      <c r="U158" s="71" t="str">
        <f>IFERROR(__xludf.DUMMYFUNCTION("""COMPUTED_VALUE"""),"https://www.sec.gov/cgi-bin/browse-edgar?CIK=1824893")</f>
        <v>https://www.sec.gov/cgi-bin/browse-edgar?CIK=1824893</v>
      </c>
      <c r="V158" s="72" t="str">
        <f>IFERROR(__xludf.DUMMYFUNCTION("""COMPUTED_VALUE""")," Trading Below $10 (Common)          Top Tier UW ")</f>
        <v> Trading Below $10 (Common)          Top Tier UW </v>
      </c>
      <c r="W158" s="73"/>
      <c r="X158" s="74"/>
      <c r="Y158" s="75"/>
      <c r="Z158" s="60"/>
      <c r="AA158" s="60"/>
      <c r="AB158" s="60"/>
      <c r="AC158" s="60"/>
      <c r="AD158" s="73"/>
      <c r="AE158" s="73"/>
      <c r="AF158" s="76"/>
      <c r="AG158" s="60" t="str">
        <f>IFERROR(__xludf.DUMMYFUNCTION("""COMPUTED_VALUE"""),"")</f>
        <v/>
      </c>
    </row>
    <row r="159">
      <c r="A159" s="54" t="str">
        <f>IFERROR(__xludf.DUMMYFUNCTION("""COMPUTED_VALUE"""),"CHPM")</f>
        <v>CHPM</v>
      </c>
      <c r="B159" s="55" t="str">
        <f>IFERROR(__xludf.DUMMYFUNCTION("""COMPUTED_VALUE"""),"CHP Merger Corp")</f>
        <v>CHP Merger Corp</v>
      </c>
      <c r="C159" s="56" t="str">
        <f>IFERROR(__xludf.DUMMYFUNCTION("""COMPUTED_VALUE"""),"Searching")</f>
        <v>Searching</v>
      </c>
      <c r="D159" s="57" t="str">
        <f>IFERROR(__xludf.DUMMYFUNCTION("""COMPUTED_VALUE"""),"Healthcare")</f>
        <v>Healthcare</v>
      </c>
      <c r="E159" s="58"/>
      <c r="F159" s="59"/>
      <c r="G159" s="60">
        <f>IFERROR(__xludf.DUMMYFUNCTION("""COMPUTED_VALUE"""),3.02329495E8)</f>
        <v>302329495</v>
      </c>
      <c r="H159" s="60">
        <f>IFERROR(__xludf.DUMMYFUNCTION("""COMPUTED_VALUE"""),3.0E8)</f>
        <v>300000000</v>
      </c>
      <c r="I159" s="61">
        <f>IFERROR(__xludf.DUMMYFUNCTION("""COMPUTED_VALUE"""),10.0)</f>
        <v>10</v>
      </c>
      <c r="J159" s="62">
        <f>IFERROR(__xludf.DUMMYFUNCTION("""COMPUTED_VALUE"""),0.002)</f>
        <v>0.002</v>
      </c>
      <c r="K159" s="59">
        <f>IFERROR(__xludf.DUMMYFUNCTION("""COMPUTED_VALUE"""),10.375)</f>
        <v>10.375</v>
      </c>
      <c r="L159" s="63">
        <f>IFERROR(__xludf.DUMMYFUNCTION("""COMPUTED_VALUE"""),0.795)</f>
        <v>0.795</v>
      </c>
      <c r="M159" s="64" t="str">
        <f>IFERROR(__xludf.DUMMYFUNCTION("""COMPUTED_VALUE"""),"U: [1/2 W]; W: [1:1, $11.5]")</f>
        <v>U: [1/2 W]; W: [1:1, $11.5]</v>
      </c>
      <c r="N159" s="65" t="str">
        <f>IFERROR(__xludf.DUMMYFUNCTION("""COMPUTED_VALUE"""),"")</f>
        <v/>
      </c>
      <c r="O159" s="66">
        <f>IFERROR(__xludf.DUMMYFUNCTION("""COMPUTED_VALUE"""),0.0)</f>
        <v>0</v>
      </c>
      <c r="P159" s="67">
        <f>IFERROR(__xludf.DUMMYFUNCTION("""COMPUTED_VALUE"""),43790.0)</f>
        <v>43790</v>
      </c>
      <c r="Q159" s="68">
        <f>IFERROR(__xludf.DUMMYFUNCTION("""COMPUTED_VALUE"""),300.0)</f>
        <v>300</v>
      </c>
      <c r="R159" s="69" t="str">
        <f>IFERROR(__xludf.DUMMYFUNCTION("""COMPUTED_VALUE"""),"JP Morgan, Credit Suisse")</f>
        <v>JP Morgan, Credit Suisse</v>
      </c>
      <c r="S159" s="64">
        <f>IFERROR(__xludf.DUMMYFUNCTION("""COMPUTED_VALUE"""),44520.0)</f>
        <v>44520</v>
      </c>
      <c r="T159" s="70">
        <f>IFERROR(__xludf.DUMMYFUNCTION("""COMPUTED_VALUE"""),0.6931506849315069)</f>
        <v>0.6931506849</v>
      </c>
      <c r="U159" s="71" t="str">
        <f>IFERROR(__xludf.DUMMYFUNCTION("""COMPUTED_VALUE"""),"https://www.sec.gov/cgi-bin/browse-edgar?CIK=1785041")</f>
        <v>https://www.sec.gov/cgi-bin/browse-edgar?CIK=1785041</v>
      </c>
      <c r="V159" s="72" t="str">
        <f>IFERROR(__xludf.DUMMYFUNCTION("""COMPUTED_VALUE""")," Trading Below $10 (Common)          Top Tier UW ")</f>
        <v> Trading Below $10 (Common)          Top Tier UW </v>
      </c>
      <c r="W159" s="73"/>
      <c r="X159" s="74"/>
      <c r="Y159" s="75"/>
      <c r="Z159" s="60"/>
      <c r="AA159" s="60"/>
      <c r="AB159" s="60"/>
      <c r="AC159" s="60"/>
      <c r="AD159" s="73"/>
      <c r="AE159" s="73"/>
      <c r="AF159" s="76"/>
      <c r="AG159" s="60" t="str">
        <f>IFERROR(__xludf.DUMMYFUNCTION("""COMPUTED_VALUE"""),"")</f>
        <v/>
      </c>
    </row>
    <row r="160">
      <c r="A160" s="54" t="str">
        <f>IFERROR(__xludf.DUMMYFUNCTION("""COMPUTED_VALUE"""),"CHWA")</f>
        <v>CHWA</v>
      </c>
      <c r="B160" s="55" t="str">
        <f>IFERROR(__xludf.DUMMYFUNCTION("""COMPUTED_VALUE"""),"CHW Acquisition Corp")</f>
        <v>CHW Acquisition Corp</v>
      </c>
      <c r="C160" s="56" t="str">
        <f>IFERROR(__xludf.DUMMYFUNCTION("""COMPUTED_VALUE"""),"Pre IPO")</f>
        <v>Pre IPO</v>
      </c>
      <c r="D160" s="77" t="str">
        <f>IFERROR(__xludf.DUMMYFUNCTION("""COMPUTED_VALUE"""),"Consumer")</f>
        <v>Consumer</v>
      </c>
      <c r="E160" s="58"/>
      <c r="F160" s="59" t="str">
        <f>IFERROR(__xludf.DUMMYFUNCTION("""COMPUTED_VALUE"""),"Victor Herrero (Fmr CEO, Guess)")</f>
        <v>Victor Herrero (Fmr CEO, Guess)</v>
      </c>
      <c r="G160" s="60">
        <f>IFERROR(__xludf.DUMMYFUNCTION("""COMPUTED_VALUE"""),1.0E8)</f>
        <v>100000000</v>
      </c>
      <c r="H160" s="60" t="str">
        <f>IFERROR(__xludf.DUMMYFUNCTION("""COMPUTED_VALUE""")," ")</f>
        <v> </v>
      </c>
      <c r="I160" s="61" t="str">
        <f>IFERROR(__xludf.DUMMYFUNCTION("""COMPUTED_VALUE""")," ")</f>
        <v> </v>
      </c>
      <c r="J160" s="62" t="str">
        <f>IFERROR(__xludf.DUMMYFUNCTION("""COMPUTED_VALUE""")," ")</f>
        <v> </v>
      </c>
      <c r="K160" s="59" t="str">
        <f>IFERROR(__xludf.DUMMYFUNCTION("""COMPUTED_VALUE""")," ")</f>
        <v> </v>
      </c>
      <c r="L160" s="63" t="str">
        <f>IFERROR(__xludf.DUMMYFUNCTION("""COMPUTED_VALUE""")," ")</f>
        <v> </v>
      </c>
      <c r="M160" s="64" t="str">
        <f>IFERROR(__xludf.DUMMYFUNCTION("""COMPUTED_VALUE"""),"U: [1 W]; W: [2:1, $11.5]")</f>
        <v>U: [1 W]; W: [2:1, $11.5]</v>
      </c>
      <c r="N160" s="65" t="str">
        <f>IFERROR(__xludf.DUMMYFUNCTION("""COMPUTED_VALUE"""),"")</f>
        <v/>
      </c>
      <c r="O160" s="66">
        <f>IFERROR(__xludf.DUMMYFUNCTION("""COMPUTED_VALUE"""),0.0)</f>
        <v>0</v>
      </c>
      <c r="P160" s="67"/>
      <c r="Q160" s="68">
        <f>IFERROR(__xludf.DUMMYFUNCTION("""COMPUTED_VALUE"""),100.0)</f>
        <v>100</v>
      </c>
      <c r="R160" s="85" t="str">
        <f>IFERROR(__xludf.DUMMYFUNCTION("""COMPUTED_VALUE"""),"Chardan")</f>
        <v>Chardan</v>
      </c>
      <c r="S160" s="64">
        <f>IFERROR(__xludf.DUMMYFUNCTION("""COMPUTED_VALUE"""),45086.0)</f>
        <v>45086</v>
      </c>
      <c r="T160" s="70" t="str">
        <f>IFERROR(__xludf.DUMMYFUNCTION("""COMPUTED_VALUE"""),"")</f>
        <v/>
      </c>
      <c r="U160" s="71" t="str">
        <f>IFERROR(__xludf.DUMMYFUNCTION("""COMPUTED_VALUE"""),"https://www.sec.gov/cgi-bin/browse-edgar?CIK=1842356")</f>
        <v>https://www.sec.gov/cgi-bin/browse-edgar?CIK=1842356</v>
      </c>
      <c r="V160" s="72" t="str">
        <f>IFERROR(__xludf.DUMMYFUNCTION("""COMPUTED_VALUE"""),"            ")</f>
        <v>            </v>
      </c>
      <c r="W160" s="73"/>
      <c r="X160" s="74"/>
      <c r="Y160" s="75"/>
      <c r="Z160" s="60"/>
      <c r="AA160" s="60"/>
      <c r="AB160" s="60"/>
      <c r="AC160" s="60"/>
      <c r="AD160" s="73"/>
      <c r="AE160" s="73"/>
      <c r="AF160" s="76"/>
      <c r="AG160" s="60"/>
    </row>
    <row r="161">
      <c r="A161" s="54" t="str">
        <f>IFERROR(__xludf.DUMMYFUNCTION("""COMPUTED_VALUE"""),"CIIG")</f>
        <v>CIIG</v>
      </c>
      <c r="B161" s="55" t="str">
        <f>IFERROR(__xludf.DUMMYFUNCTION("""COMPUTED_VALUE"""),"CIIG Merger Corp. II")</f>
        <v>CIIG Merger Corp. II</v>
      </c>
      <c r="C161" s="56" t="str">
        <f>IFERROR(__xludf.DUMMYFUNCTION("""COMPUTED_VALUE"""),"Pre IPO")</f>
        <v>Pre IPO</v>
      </c>
      <c r="D161" s="77" t="str">
        <f>IFERROR(__xludf.DUMMYFUNCTION("""COMPUTED_VALUE"""),"TMT and Sustainability")</f>
        <v>TMT and Sustainability</v>
      </c>
      <c r="E161" s="58"/>
      <c r="F161" s="59" t="str">
        <f>IFERROR(__xludf.DUMMYFUNCTION("""COMPUTED_VALUE"""),"Peter Cuneo (Former CEO of Marvel Entertainment and Former CEO of Remington Products)")</f>
        <v>Peter Cuneo (Former CEO of Marvel Entertainment and Former CEO of Remington Products)</v>
      </c>
      <c r="G161" s="60">
        <f>IFERROR(__xludf.DUMMYFUNCTION("""COMPUTED_VALUE"""),3.0E8)</f>
        <v>300000000</v>
      </c>
      <c r="H161" s="60" t="str">
        <f>IFERROR(__xludf.DUMMYFUNCTION("""COMPUTED_VALUE""")," ")</f>
        <v> </v>
      </c>
      <c r="I161" s="61" t="str">
        <f>IFERROR(__xludf.DUMMYFUNCTION("""COMPUTED_VALUE""")," ")</f>
        <v> </v>
      </c>
      <c r="J161" s="62" t="str">
        <f>IFERROR(__xludf.DUMMYFUNCTION("""COMPUTED_VALUE""")," ")</f>
        <v> </v>
      </c>
      <c r="K161" s="59" t="str">
        <f>IFERROR(__xludf.DUMMYFUNCTION("""COMPUTED_VALUE""")," ")</f>
        <v> </v>
      </c>
      <c r="L161" s="63" t="str">
        <f>IFERROR(__xludf.DUMMYFUNCTION("""COMPUTED_VALUE""")," ")</f>
        <v> </v>
      </c>
      <c r="M161" s="64" t="str">
        <f>IFERROR(__xludf.DUMMYFUNCTION("""COMPUTED_VALUE"""),"U: [1/5 W]; W: [1:1, $11.5]")</f>
        <v>U: [1/5 W]; W: [1:1, $11.5]</v>
      </c>
      <c r="N161" s="65" t="str">
        <f>IFERROR(__xludf.DUMMYFUNCTION("""COMPUTED_VALUE"""),"")</f>
        <v/>
      </c>
      <c r="O161" s="66">
        <f>IFERROR(__xludf.DUMMYFUNCTION("""COMPUTED_VALUE"""),0.0)</f>
        <v>0</v>
      </c>
      <c r="P161" s="67"/>
      <c r="Q161" s="68">
        <f>IFERROR(__xludf.DUMMYFUNCTION("""COMPUTED_VALUE"""),300.0)</f>
        <v>300</v>
      </c>
      <c r="R161" s="69" t="str">
        <f>IFERROR(__xludf.DUMMYFUNCTION("""COMPUTED_VALUE"""),"UBS Investment Bank, Barclays")</f>
        <v>UBS Investment Bank, Barclays</v>
      </c>
      <c r="S161" s="64">
        <f>IFERROR(__xludf.DUMMYFUNCTION("""COMPUTED_VALUE"""),45086.0)</f>
        <v>45086</v>
      </c>
      <c r="T161" s="70" t="str">
        <f>IFERROR(__xludf.DUMMYFUNCTION("""COMPUTED_VALUE"""),"")</f>
        <v/>
      </c>
      <c r="U161" s="71" t="str">
        <f>IFERROR(__xludf.DUMMYFUNCTION("""COMPUTED_VALUE"""),"https://www.sec.gov/cgi-bin/browse-edgar?CIK=1841338")</f>
        <v>https://www.sec.gov/cgi-bin/browse-edgar?CIK=1841338</v>
      </c>
      <c r="V161" s="72" t="str">
        <f>IFERROR(__xludf.DUMMYFUNCTION("""COMPUTED_VALUE"""),"         Well-known Sponsor   ")</f>
        <v>         Well-known Sponsor   </v>
      </c>
      <c r="W161" s="73"/>
      <c r="X161" s="74"/>
      <c r="Y161" s="75"/>
      <c r="Z161" s="60"/>
      <c r="AA161" s="60"/>
      <c r="AB161" s="60"/>
      <c r="AC161" s="60"/>
      <c r="AD161" s="73"/>
      <c r="AE161" s="73"/>
      <c r="AF161" s="76"/>
      <c r="AG161" s="60"/>
    </row>
    <row r="162">
      <c r="A162" s="54" t="str">
        <f>IFERROR(__xludf.DUMMYFUNCTION("""COMPUTED_VALUE"""),"CLAA")</f>
        <v>CLAA</v>
      </c>
      <c r="B162" s="55" t="str">
        <f>IFERROR(__xludf.DUMMYFUNCTION("""COMPUTED_VALUE"""),"Colonnade Acquisition Corp. II")</f>
        <v>Colonnade Acquisition Corp. II</v>
      </c>
      <c r="C162" s="56" t="str">
        <f>IFERROR(__xludf.DUMMYFUNCTION("""COMPUTED_VALUE"""),"Searching (Pre Unit Split)")</f>
        <v>Searching (Pre Unit Split)</v>
      </c>
      <c r="D162" s="57"/>
      <c r="E162" s="58"/>
      <c r="F162" s="59" t="str">
        <f>IFERROR(__xludf.DUMMYFUNCTION("""COMPUTED_VALUE"""),"Lee Solomon (Partner, Apollo; Director, ADT, Redbox, Cox Media Group)")</f>
        <v>Lee Solomon (Partner, Apollo; Director, ADT, Redbox, Cox Media Group)</v>
      </c>
      <c r="G162" s="60">
        <f>IFERROR(__xludf.DUMMYFUNCTION("""COMPUTED_VALUE"""),3.3E8)</f>
        <v>330000000</v>
      </c>
      <c r="H162" s="60" t="str">
        <f>IFERROR(__xludf.DUMMYFUNCTION("""COMPUTED_VALUE""")," ")</f>
        <v> </v>
      </c>
      <c r="I162" s="61" t="str">
        <f>IFERROR(__xludf.DUMMYFUNCTION("""COMPUTED_VALUE""")," ")</f>
        <v> </v>
      </c>
      <c r="J162" s="62" t="str">
        <f>IFERROR(__xludf.DUMMYFUNCTION("""COMPUTED_VALUE""")," ")</f>
        <v> </v>
      </c>
      <c r="K162" s="59">
        <f>IFERROR(__xludf.DUMMYFUNCTION("""COMPUTED_VALUE"""),9.96)</f>
        <v>9.96</v>
      </c>
      <c r="L162" s="63" t="str">
        <f>IFERROR(__xludf.DUMMYFUNCTION("""COMPUTED_VALUE""")," ")</f>
        <v> </v>
      </c>
      <c r="M162" s="64" t="str">
        <f>IFERROR(__xludf.DUMMYFUNCTION("""COMPUTED_VALUE"""),"U: [1/5 W]; W: [1:1, $11.5]")</f>
        <v>U: [1/5 W]; W: [1:1, $11.5]</v>
      </c>
      <c r="N162" s="65">
        <f>IFERROR(__xludf.DUMMYFUNCTION("""COMPUTED_VALUE"""),44316.0)</f>
        <v>44316</v>
      </c>
      <c r="O162" s="66" t="str">
        <f>IFERROR(__xludf.DUMMYFUNCTION("""COMPUTED_VALUE"""),"")</f>
        <v/>
      </c>
      <c r="P162" s="67">
        <f>IFERROR(__xludf.DUMMYFUNCTION("""COMPUTED_VALUE"""),44264.0)</f>
        <v>44264</v>
      </c>
      <c r="Q162" s="68">
        <f>IFERROR(__xludf.DUMMYFUNCTION("""COMPUTED_VALUE"""),330.0)</f>
        <v>330</v>
      </c>
      <c r="R162" s="69" t="str">
        <f>IFERROR(__xludf.DUMMYFUNCTION("""COMPUTED_VALUE"""),"Barclays, Deutsche Bank Securities")</f>
        <v>Barclays, Deutsche Bank Securities</v>
      </c>
      <c r="S162" s="64">
        <f>IFERROR(__xludf.DUMMYFUNCTION("""COMPUTED_VALUE"""),44994.0)</f>
        <v>44994</v>
      </c>
      <c r="T162" s="70">
        <f>IFERROR(__xludf.DUMMYFUNCTION("""COMPUTED_VALUE"""),0.043835616438356165)</f>
        <v>0.04383561644</v>
      </c>
      <c r="U162" s="71" t="str">
        <f>IFERROR(__xludf.DUMMYFUNCTION("""COMPUTED_VALUE"""),"https://www.sec.gov/cgi-bin/browse-edgar?CIK=1837739")</f>
        <v>https://www.sec.gov/cgi-bin/browse-edgar?CIK=1837739</v>
      </c>
      <c r="V162" s="72" t="str">
        <f>IFERROR(__xludf.DUMMYFUNCTION("""COMPUTED_VALUE"""),"            ")</f>
        <v>            </v>
      </c>
      <c r="W162" s="73"/>
      <c r="X162" s="74"/>
      <c r="Y162" s="75"/>
      <c r="Z162" s="60"/>
      <c r="AA162" s="60"/>
      <c r="AB162" s="60"/>
      <c r="AC162" s="60"/>
      <c r="AD162" s="73"/>
      <c r="AE162" s="73"/>
      <c r="AF162" s="76"/>
      <c r="AG162" s="60"/>
    </row>
    <row r="163">
      <c r="A163" s="54" t="str">
        <f>IFERROR(__xludf.DUMMYFUNCTION("""COMPUTED_VALUE"""),"CLAS")</f>
        <v>CLAS</v>
      </c>
      <c r="B163" s="55" t="str">
        <f>IFERROR(__xludf.DUMMYFUNCTION("""COMPUTED_VALUE"""),"Class Acceleration Corp.")</f>
        <v>Class Acceleration Corp.</v>
      </c>
      <c r="C163" s="56" t="str">
        <f>IFERROR(__xludf.DUMMYFUNCTION("""COMPUTED_VALUE"""),"Searching")</f>
        <v>Searching</v>
      </c>
      <c r="D163" s="57" t="str">
        <f>IFERROR(__xludf.DUMMYFUNCTION("""COMPUTED_VALUE"""),"EdTech, Education")</f>
        <v>EdTech, Education</v>
      </c>
      <c r="E163" s="58"/>
      <c r="F163" s="59" t="str">
        <f>IFERROR(__xludf.DUMMYFUNCTION("""COMPUTED_VALUE"""),"Michael Moe (CEO, GSV; Co-founder/Fmr CEO, ThinkEquity Partners)")</f>
        <v>Michael Moe (CEO, GSV; Co-founder/Fmr CEO, ThinkEquity Partners)</v>
      </c>
      <c r="G163" s="60">
        <f>IFERROR(__xludf.DUMMYFUNCTION("""COMPUTED_VALUE"""),2.5875E8)</f>
        <v>258750000</v>
      </c>
      <c r="H163" s="60"/>
      <c r="I163" s="61">
        <f>IFERROR(__xludf.DUMMYFUNCTION("""COMPUTED_VALUE"""),9.8)</f>
        <v>9.8</v>
      </c>
      <c r="J163" s="62">
        <f>IFERROR(__xludf.DUMMYFUNCTION("""COMPUTED_VALUE"""),0.01031)</f>
        <v>0.01031</v>
      </c>
      <c r="K163" s="59">
        <f>IFERROR(__xludf.DUMMYFUNCTION("""COMPUTED_VALUE"""),10.1)</f>
        <v>10.1</v>
      </c>
      <c r="L163" s="63">
        <f>IFERROR(__xludf.DUMMYFUNCTION("""COMPUTED_VALUE"""),0.6699)</f>
        <v>0.6699</v>
      </c>
      <c r="M163" s="64" t="str">
        <f>IFERROR(__xludf.DUMMYFUNCTION("""COMPUTED_VALUE"""),"U: [1/2 W]; W: [1:1, $11.5]")</f>
        <v>U: [1/2 W]; W: [1:1, $11.5]</v>
      </c>
      <c r="N163" s="65">
        <f>IFERROR(__xludf.DUMMYFUNCTION("""COMPUTED_VALUE"""),44263.0)</f>
        <v>44263</v>
      </c>
      <c r="O163" s="66">
        <f>IFERROR(__xludf.DUMMYFUNCTION("""COMPUTED_VALUE"""),0.0)</f>
        <v>0</v>
      </c>
      <c r="P163" s="67">
        <f>IFERROR(__xludf.DUMMYFUNCTION("""COMPUTED_VALUE"""),44210.0)</f>
        <v>44210</v>
      </c>
      <c r="Q163" s="68">
        <f>IFERROR(__xludf.DUMMYFUNCTION("""COMPUTED_VALUE"""),258.75)</f>
        <v>258.75</v>
      </c>
      <c r="R163" s="85" t="str">
        <f>IFERROR(__xludf.DUMMYFUNCTION("""COMPUTED_VALUE"""),"Oppenheimer")</f>
        <v>Oppenheimer</v>
      </c>
      <c r="S163" s="64">
        <f>IFERROR(__xludf.DUMMYFUNCTION("""COMPUTED_VALUE"""),44940.0)</f>
        <v>44940</v>
      </c>
      <c r="T163" s="70">
        <f>IFERROR(__xludf.DUMMYFUNCTION("""COMPUTED_VALUE"""),0.1178082191780822)</f>
        <v>0.1178082192</v>
      </c>
      <c r="U163" s="71" t="str">
        <f>IFERROR(__xludf.DUMMYFUNCTION("""COMPUTED_VALUE"""),"https://www.sec.gov/cgi-bin/browse-edgar?CIK=1826855")</f>
        <v>https://www.sec.gov/cgi-bin/browse-edgar?CIK=1826855</v>
      </c>
      <c r="V163" s="72" t="str">
        <f>IFERROR(__xludf.DUMMYFUNCTION("""COMPUTED_VALUE""")," Trading Below $10 (Common)        Well-known Sponsor   ")</f>
        <v> Trading Below $10 (Common)        Well-known Sponsor   </v>
      </c>
      <c r="W163" s="73"/>
      <c r="X163" s="74"/>
      <c r="Y163" s="75"/>
      <c r="Z163" s="60"/>
      <c r="AA163" s="60"/>
      <c r="AB163" s="60"/>
      <c r="AC163" s="60"/>
      <c r="AD163" s="73"/>
      <c r="AE163" s="73"/>
      <c r="AF163" s="76"/>
      <c r="AG163" s="60" t="str">
        <f>IFERROR(__xludf.DUMMYFUNCTION("""COMPUTED_VALUE"""),"")</f>
        <v/>
      </c>
    </row>
    <row r="164">
      <c r="A164" s="54" t="str">
        <f>IFERROR(__xludf.DUMMYFUNCTION("""COMPUTED_VALUE"""),"CLBR")</f>
        <v>CLBR</v>
      </c>
      <c r="B164" s="55" t="str">
        <f>IFERROR(__xludf.DUMMYFUNCTION("""COMPUTED_VALUE"""),"Colombier Acquisition Corp.")</f>
        <v>Colombier Acquisition Corp.</v>
      </c>
      <c r="C164" s="56" t="str">
        <f>IFERROR(__xludf.DUMMYFUNCTION("""COMPUTED_VALUE"""),"Pre IPO")</f>
        <v>Pre IPO</v>
      </c>
      <c r="D164" s="57"/>
      <c r="E164" s="58"/>
      <c r="F164" s="59" t="str">
        <f>IFERROR(__xludf.DUMMYFUNCTION("""COMPUTED_VALUE"""),"Omeed Malik (Founder &amp; CEO of Farvahar Partners and Former Global Head of Hedge Fund Advisory at Bank of America Merrill Lynch), Ryan Kavanaugh (Founder &amp; Former CEO of Relativity Media and Co-founder of Triller), Keri Findley (Senior Managing Director of"&amp;" SuRo Capital, Former Partner at Third Point, Advisor to 8VC, and Director of Clearbanc)")</f>
        <v>Omeed Malik (Founder &amp; CEO of Farvahar Partners and Former Global Head of Hedge Fund Advisory at Bank of America Merrill Lynch), Ryan Kavanaugh (Founder &amp; Former CEO of Relativity Media and Co-founder of Triller), Keri Findley (Senior Managing Director of SuRo Capital, Former Partner at Third Point, Advisor to 8VC, and Director of Clearbanc)</v>
      </c>
      <c r="G164" s="60">
        <f>IFERROR(__xludf.DUMMYFUNCTION("""COMPUTED_VALUE"""),1.5E8)</f>
        <v>150000000</v>
      </c>
      <c r="H164" s="60" t="str">
        <f>IFERROR(__xludf.DUMMYFUNCTION("""COMPUTED_VALUE""")," ")</f>
        <v> </v>
      </c>
      <c r="I164" s="61" t="str">
        <f>IFERROR(__xludf.DUMMYFUNCTION("""COMPUTED_VALUE""")," ")</f>
        <v> </v>
      </c>
      <c r="J164" s="62" t="str">
        <f>IFERROR(__xludf.DUMMYFUNCTION("""COMPUTED_VALUE""")," ")</f>
        <v> </v>
      </c>
      <c r="K164" s="59" t="str">
        <f>IFERROR(__xludf.DUMMYFUNCTION("""COMPUTED_VALUE""")," ")</f>
        <v> </v>
      </c>
      <c r="L164" s="63" t="str">
        <f>IFERROR(__xludf.DUMMYFUNCTION("""COMPUTED_VALUE""")," ")</f>
        <v> </v>
      </c>
      <c r="M164" s="64" t="str">
        <f>IFERROR(__xludf.DUMMYFUNCTION("""COMPUTED_VALUE"""),"U: [1/3 W]; W: [1:1, $11.5]")</f>
        <v>U: [1/3 W]; W: [1:1, $11.5]</v>
      </c>
      <c r="N164" s="65" t="str">
        <f>IFERROR(__xludf.DUMMYFUNCTION("""COMPUTED_VALUE"""),"")</f>
        <v/>
      </c>
      <c r="O164" s="66">
        <f>IFERROR(__xludf.DUMMYFUNCTION("""COMPUTED_VALUE"""),0.0)</f>
        <v>0</v>
      </c>
      <c r="P164" s="67"/>
      <c r="Q164" s="68">
        <f>IFERROR(__xludf.DUMMYFUNCTION("""COMPUTED_VALUE"""),150.0)</f>
        <v>150</v>
      </c>
      <c r="R164" s="85" t="str">
        <f>IFERROR(__xludf.DUMMYFUNCTION("""COMPUTED_VALUE"""),"B. Riley Securities")</f>
        <v>B. Riley Securities</v>
      </c>
      <c r="S164" s="64">
        <f>IFERROR(__xludf.DUMMYFUNCTION("""COMPUTED_VALUE"""),45086.0)</f>
        <v>45086</v>
      </c>
      <c r="T164" s="70" t="str">
        <f>IFERROR(__xludf.DUMMYFUNCTION("""COMPUTED_VALUE"""),"")</f>
        <v/>
      </c>
      <c r="U164" s="71" t="str">
        <f>IFERROR(__xludf.DUMMYFUNCTION("""COMPUTED_VALUE"""),"https://www.sec.gov/cgi-bin/browse-edgar?CIK=1847064")</f>
        <v>https://www.sec.gov/cgi-bin/browse-edgar?CIK=1847064</v>
      </c>
      <c r="V164" s="72" t="str">
        <f>IFERROR(__xludf.DUMMYFUNCTION("""COMPUTED_VALUE"""),"         Well-known Sponsor   ")</f>
        <v>         Well-known Sponsor   </v>
      </c>
      <c r="W164" s="73"/>
      <c r="X164" s="74"/>
      <c r="Y164" s="75"/>
      <c r="Z164" s="60"/>
      <c r="AA164" s="60"/>
      <c r="AB164" s="60"/>
      <c r="AC164" s="60"/>
      <c r="AD164" s="73"/>
      <c r="AE164" s="73"/>
      <c r="AF164" s="76"/>
      <c r="AG164" s="60"/>
    </row>
    <row r="165">
      <c r="A165" s="54" t="str">
        <f>IFERROR(__xludf.DUMMYFUNCTION("""COMPUTED_VALUE"""),"CLIC")</f>
        <v>CLIC</v>
      </c>
      <c r="B165" s="55" t="str">
        <f>IFERROR(__xludf.DUMMYFUNCTION("""COMPUTED_VALUE"""),"Climate Real Impact Solutions III Acquisition Corp")</f>
        <v>Climate Real Impact Solutions III Acquisition Corp</v>
      </c>
      <c r="C165" s="56" t="str">
        <f>IFERROR(__xludf.DUMMYFUNCTION("""COMPUTED_VALUE"""),"Pre IPO")</f>
        <v>Pre IPO</v>
      </c>
      <c r="D165" s="57" t="str">
        <f>IFERROR(__xludf.DUMMYFUNCTION("""COMPUTED_VALUE"""),"Carbon avoidance and removal, Sustainability")</f>
        <v>Carbon avoidance and removal, Sustainability</v>
      </c>
      <c r="E165" s="58"/>
      <c r="F165" s="59" t="str">
        <f>IFERROR(__xludf.DUMMYFUNCTION("""COMPUTED_VALUE"""),"David Crane (Fmr CEO of IPR, NRG), Beth Comstock, (Fmr CMO/CCO of GE; Director, Nike), Mimi Alemayehou (SVP, Mastercard), PIMCO")</f>
        <v>David Crane (Fmr CEO of IPR, NRG), Beth Comstock, (Fmr CMO/CCO of GE; Director, Nike), Mimi Alemayehou (SVP, Mastercard), PIMCO</v>
      </c>
      <c r="G165" s="60">
        <f>IFERROR(__xludf.DUMMYFUNCTION("""COMPUTED_VALUE"""),3.0E8)</f>
        <v>300000000</v>
      </c>
      <c r="H165" s="60" t="str">
        <f>IFERROR(__xludf.DUMMYFUNCTION("""COMPUTED_VALUE""")," ")</f>
        <v> </v>
      </c>
      <c r="I165" s="61" t="str">
        <f>IFERROR(__xludf.DUMMYFUNCTION("""COMPUTED_VALUE""")," ")</f>
        <v> </v>
      </c>
      <c r="J165" s="62" t="str">
        <f>IFERROR(__xludf.DUMMYFUNCTION("""COMPUTED_VALUE""")," ")</f>
        <v> </v>
      </c>
      <c r="K165" s="59" t="str">
        <f>IFERROR(__xludf.DUMMYFUNCTION("""COMPUTED_VALUE""")," ")</f>
        <v> </v>
      </c>
      <c r="L165" s="63" t="str">
        <f>IFERROR(__xludf.DUMMYFUNCTION("""COMPUTED_VALUE""")," ")</f>
        <v> </v>
      </c>
      <c r="M165" s="64" t="str">
        <f>IFERROR(__xludf.DUMMYFUNCTION("""COMPUTED_VALUE"""),"U: [1/5 W]; W: [1:1, $11.5]")</f>
        <v>U: [1/5 W]; W: [1:1, $11.5]</v>
      </c>
      <c r="N165" s="65" t="str">
        <f>IFERROR(__xludf.DUMMYFUNCTION("""COMPUTED_VALUE"""),"")</f>
        <v/>
      </c>
      <c r="O165" s="66">
        <f>IFERROR(__xludf.DUMMYFUNCTION("""COMPUTED_VALUE"""),0.0)</f>
        <v>0</v>
      </c>
      <c r="P165" s="67"/>
      <c r="Q165" s="68">
        <f>IFERROR(__xludf.DUMMYFUNCTION("""COMPUTED_VALUE"""),300.0)</f>
        <v>300</v>
      </c>
      <c r="R165" s="69" t="str">
        <f>IFERROR(__xludf.DUMMYFUNCTION("""COMPUTED_VALUE"""),"BofA Securities, Credit Suisse, Barclays")</f>
        <v>BofA Securities, Credit Suisse, Barclays</v>
      </c>
      <c r="S165" s="64">
        <f>IFERROR(__xludf.DUMMYFUNCTION("""COMPUTED_VALUE"""),45086.0)</f>
        <v>45086</v>
      </c>
      <c r="T165" s="70" t="str">
        <f>IFERROR(__xludf.DUMMYFUNCTION("""COMPUTED_VALUE"""),"")</f>
        <v/>
      </c>
      <c r="U165" s="71" t="str">
        <f>IFERROR(__xludf.DUMMYFUNCTION("""COMPUTED_VALUE"""),"https://www.sec.gov/cgi-bin/browse-edgar?CIK=1843983")</f>
        <v>https://www.sec.gov/cgi-bin/browse-edgar?CIK=1843983</v>
      </c>
      <c r="V165" s="72" t="str">
        <f>IFERROR(__xludf.DUMMYFUNCTION("""COMPUTED_VALUE"""),"Sustainability          Serial Sponsor Top Tier UW ")</f>
        <v>Sustainability          Serial Sponsor Top Tier UW </v>
      </c>
      <c r="W165" s="73"/>
      <c r="X165" s="74"/>
      <c r="Y165" s="75"/>
      <c r="Z165" s="60"/>
      <c r="AA165" s="60"/>
      <c r="AB165" s="60"/>
      <c r="AC165" s="60"/>
      <c r="AD165" s="73"/>
      <c r="AE165" s="73"/>
      <c r="AF165" s="76"/>
      <c r="AG165" s="60"/>
    </row>
    <row r="166">
      <c r="A166" s="54" t="str">
        <f>IFERROR(__xludf.DUMMYFUNCTION("""COMPUTED_VALUE"""),"CLII")</f>
        <v>CLII</v>
      </c>
      <c r="B166" s="55" t="str">
        <f>IFERROR(__xludf.DUMMYFUNCTION("""COMPUTED_VALUE"""),"Climate Change Crisis Real Impact I Acquisition Corp")</f>
        <v>Climate Change Crisis Real Impact I Acquisition Corp</v>
      </c>
      <c r="C166" s="56" t="str">
        <f>IFERROR(__xludf.DUMMYFUNCTION("""COMPUTED_VALUE"""),"Definitive Agreement")</f>
        <v>Definitive Agreement</v>
      </c>
      <c r="D166" s="57" t="str">
        <f>IFERROR(__xludf.DUMMYFUNCTION("""COMPUTED_VALUE"""),"Carbon avoidance and removal, Sustainability")</f>
        <v>Carbon avoidance and removal, Sustainability</v>
      </c>
      <c r="E166" s="58" t="str">
        <f>IFERROR(__xludf.DUMMYFUNCTION("""COMPUTED_VALUE"""),"EVgo [DA: 01/22/21]")</f>
        <v>EVgo [DA: 01/22/21]</v>
      </c>
      <c r="F166" s="59" t="str">
        <f>IFERROR(__xludf.DUMMYFUNCTION("""COMPUTED_VALUE"""),"David Crane (Fmr CEO of IPR, NRG), Beth Comstock, (Fmr CMO/CCO of GE; Director, Nike), Mary Powell (Fmr CEO, GMP), Mimi Alemayehou (SVP, Mastercard), PIMCO")</f>
        <v>David Crane (Fmr CEO of IPR, NRG), Beth Comstock, (Fmr CMO/CCO of GE; Director, Nike), Mary Powell (Fmr CEO, GMP), Mimi Alemayehou (SVP, Mastercard), PIMCO</v>
      </c>
      <c r="G166" s="60">
        <f>IFERROR(__xludf.DUMMYFUNCTION("""COMPUTED_VALUE"""),2.3000338E8)</f>
        <v>230003380</v>
      </c>
      <c r="H166" s="60">
        <f>IFERROR(__xludf.DUMMYFUNCTION("""COMPUTED_VALUE"""),3.1579E8)</f>
        <v>315790000</v>
      </c>
      <c r="I166" s="61">
        <f>IFERROR(__xludf.DUMMYFUNCTION("""COMPUTED_VALUE"""),13.73)</f>
        <v>13.73</v>
      </c>
      <c r="J166" s="62">
        <f>IFERROR(__xludf.DUMMYFUNCTION("""COMPUTED_VALUE"""),-0.0029)</f>
        <v>-0.0029</v>
      </c>
      <c r="K166" s="59">
        <f>IFERROR(__xludf.DUMMYFUNCTION("""COMPUTED_VALUE"""),15.67)</f>
        <v>15.67</v>
      </c>
      <c r="L166" s="63">
        <f>IFERROR(__xludf.DUMMYFUNCTION("""COMPUTED_VALUE"""),3.71)</f>
        <v>3.71</v>
      </c>
      <c r="M166" s="64" t="str">
        <f>IFERROR(__xludf.DUMMYFUNCTION("""COMPUTED_VALUE"""),"U: [1/2 W]; W: [1:1, $11.5]")</f>
        <v>U: [1/2 W]; W: [1:1, $11.5]</v>
      </c>
      <c r="N166" s="65" t="str">
        <f>IFERROR(__xludf.DUMMYFUNCTION("""COMPUTED_VALUE"""),"")</f>
        <v/>
      </c>
      <c r="O166" s="66">
        <f>IFERROR(__xludf.DUMMYFUNCTION("""COMPUTED_VALUE"""),2.2300000000000004)</f>
        <v>2.23</v>
      </c>
      <c r="P166" s="67">
        <f>IFERROR(__xludf.DUMMYFUNCTION("""COMPUTED_VALUE"""),44103.0)</f>
        <v>44103</v>
      </c>
      <c r="Q166" s="68">
        <f>IFERROR(__xludf.DUMMYFUNCTION("""COMPUTED_VALUE"""),230.0)</f>
        <v>230</v>
      </c>
      <c r="R166" s="69" t="str">
        <f>IFERROR(__xludf.DUMMYFUNCTION("""COMPUTED_VALUE"""),"Citigroup, BofA Securities, Barclays")</f>
        <v>Citigroup, BofA Securities, Barclays</v>
      </c>
      <c r="S166" s="64">
        <f>IFERROR(__xludf.DUMMYFUNCTION("""COMPUTED_VALUE"""),44833.0)</f>
        <v>44833</v>
      </c>
      <c r="T166" s="70">
        <f>IFERROR(__xludf.DUMMYFUNCTION("""COMPUTED_VALUE"""),0.26438356164383564)</f>
        <v>0.2643835616</v>
      </c>
      <c r="U166" s="71" t="str">
        <f>IFERROR(__xludf.DUMMYFUNCTION("""COMPUTED_VALUE"""),"https://www.sec.gov/cgi-bin/browse-edgar?CIK=1821159")</f>
        <v>https://www.sec.gov/cgi-bin/browse-edgar?CIK=1821159</v>
      </c>
      <c r="V166" s="72" t="str">
        <f>IFERROR(__xludf.DUMMYFUNCTION("""COMPUTED_VALUE"""),"Sustainability, E.V.     Optionable    Well-known Sponsor  Top Tier UW ")</f>
        <v>Sustainability, E.V.     Optionable    Well-known Sponsor  Top Tier UW </v>
      </c>
      <c r="W166" s="73">
        <f>IFERROR(__xludf.DUMMYFUNCTION("""COMPUTED_VALUE"""),44218.0)</f>
        <v>44218</v>
      </c>
      <c r="X166" s="79">
        <f>IFERROR(__xludf.DUMMYFUNCTION("""COMPUTED_VALUE"""),3.8333333333333335)</f>
        <v>3.833333333</v>
      </c>
      <c r="Y166" s="80" t="str">
        <f>IFERROR(__xludf.DUMMYFUNCTION("""COMPUTED_VALUE"""),"https://www.businesswire.com/news/home/20210122005058/en/EVgo-an-LS-Power-Company-and-Leader-in-U.S.-Electric-Vehicle-Fast-Charging-to-Publicly-List-through-Business-Combination-with-Climate-Change-Crisis-Real-Impact-I-Acquisition-Corporation")</f>
        <v>https://www.businesswire.com/news/home/20210122005058/en/EVgo-an-LS-Power-Company-and-Leader-in-U.S.-Electric-Vehicle-Fast-Charging-to-Publicly-List-through-Business-Combination-with-Climate-Change-Crisis-Real-Impact-I-Acquisition-Corporation</v>
      </c>
      <c r="Z166" s="81" t="str">
        <f>IFERROR(__xludf.DUMMYFUNCTION("""COMPUTED_VALUE"""),"https://www.sec.gov/Archives/edgar/data/1821159/000121390021003602/ea133683ex99-3_climate1.htm")</f>
        <v>https://www.sec.gov/Archives/edgar/data/1821159/000121390021003602/ea133683ex99-3_climate1.htm</v>
      </c>
      <c r="AA166" s="60">
        <f>IFERROR(__xludf.DUMMYFUNCTION("""COMPUTED_VALUE"""),4.0E8)</f>
        <v>400000000</v>
      </c>
      <c r="AB166" s="60">
        <f>IFERROR(__xludf.DUMMYFUNCTION("""COMPUTED_VALUE"""),2.631E9)</f>
        <v>2631000000</v>
      </c>
      <c r="AC166" s="60">
        <f>IFERROR(__xludf.DUMMYFUNCTION("""COMPUTED_VALUE"""),2.056E9)</f>
        <v>2056000000</v>
      </c>
      <c r="AD166" s="73"/>
      <c r="AE166" s="73"/>
      <c r="AF166" s="76">
        <f>IFERROR(__xludf.DUMMYFUNCTION("""COMPUTED_VALUE"""),2.631E8)</f>
        <v>263100000</v>
      </c>
      <c r="AG166" s="60">
        <f>IFERROR(__xludf.DUMMYFUNCTION("""COMPUTED_VALUE"""),3.612363E9)</f>
        <v>3612363000</v>
      </c>
    </row>
    <row r="167">
      <c r="A167" s="54" t="str">
        <f>IFERROR(__xludf.DUMMYFUNCTION("""COMPUTED_VALUE"""),"CLIM")</f>
        <v>CLIM</v>
      </c>
      <c r="B167" s="55" t="str">
        <f>IFERROR(__xludf.DUMMYFUNCTION("""COMPUTED_VALUE"""),"Climate Real Impact Solutions II Acquisition Corporation")</f>
        <v>Climate Real Impact Solutions II Acquisition Corporation</v>
      </c>
      <c r="C167" s="56" t="str">
        <f>IFERROR(__xludf.DUMMYFUNCTION("""COMPUTED_VALUE"""),"Searching")</f>
        <v>Searching</v>
      </c>
      <c r="D167" s="77" t="str">
        <f>IFERROR(__xludf.DUMMYFUNCTION("""COMPUTED_VALUE"""),"Carbon avoidance and removal, Sustainability")</f>
        <v>Carbon avoidance and removal, Sustainability</v>
      </c>
      <c r="E167" s="58"/>
      <c r="F167" s="59" t="str">
        <f>IFERROR(__xludf.DUMMYFUNCTION("""COMPUTED_VALUE"""),"David Crane (Fmr CEO of IPR, NRG), Elizabeth Comstock, (Fmr CMO/CCO of GE; Director, Nike), PIMCO")</f>
        <v>David Crane (Fmr CEO of IPR, NRG), Elizabeth Comstock, (Fmr CMO/CCO of GE; Director, Nike), PIMCO</v>
      </c>
      <c r="G167" s="60">
        <f>IFERROR(__xludf.DUMMYFUNCTION("""COMPUTED_VALUE"""),2.415E8)</f>
        <v>241500000</v>
      </c>
      <c r="H167" s="60"/>
      <c r="I167" s="61">
        <f>IFERROR(__xludf.DUMMYFUNCTION("""COMPUTED_VALUE"""),10.0568)</f>
        <v>10.0568</v>
      </c>
      <c r="J167" s="62">
        <f>IFERROR(__xludf.DUMMYFUNCTION("""COMPUTED_VALUE"""),0.01687)</f>
        <v>0.01687</v>
      </c>
      <c r="K167" s="59">
        <f>IFERROR(__xludf.DUMMYFUNCTION("""COMPUTED_VALUE"""),10.35)</f>
        <v>10.35</v>
      </c>
      <c r="L167" s="63">
        <f>IFERROR(__xludf.DUMMYFUNCTION("""COMPUTED_VALUE"""),1.3899)</f>
        <v>1.3899</v>
      </c>
      <c r="M167" s="64" t="str">
        <f>IFERROR(__xludf.DUMMYFUNCTION("""COMPUTED_VALUE"""),"U: [1/5 W]; W: [1:1, $11.5]")</f>
        <v>U: [1/5 W]; W: [1:1, $11.5]</v>
      </c>
      <c r="N167" s="65" t="str">
        <f>IFERROR(__xludf.DUMMYFUNCTION("""COMPUTED_VALUE"""),"")</f>
        <v/>
      </c>
      <c r="O167" s="66">
        <f>IFERROR(__xludf.DUMMYFUNCTION("""COMPUTED_VALUE"""),0.0)</f>
        <v>0</v>
      </c>
      <c r="P167" s="67">
        <f>IFERROR(__xludf.DUMMYFUNCTION("""COMPUTED_VALUE"""),44222.0)</f>
        <v>44222</v>
      </c>
      <c r="Q167" s="68">
        <f>IFERROR(__xludf.DUMMYFUNCTION("""COMPUTED_VALUE"""),241.5)</f>
        <v>241.5</v>
      </c>
      <c r="R167" s="69" t="str">
        <f>IFERROR(__xludf.DUMMYFUNCTION("""COMPUTED_VALUE"""),"Barclays, BofA Securities")</f>
        <v>Barclays, BofA Securities</v>
      </c>
      <c r="S167" s="64">
        <f>IFERROR(__xludf.DUMMYFUNCTION("""COMPUTED_VALUE"""),44952.0)</f>
        <v>44952</v>
      </c>
      <c r="T167" s="70">
        <f>IFERROR(__xludf.DUMMYFUNCTION("""COMPUTED_VALUE"""),0.10136986301369863)</f>
        <v>0.101369863</v>
      </c>
      <c r="U167" s="71" t="str">
        <f>IFERROR(__xludf.DUMMYFUNCTION("""COMPUTED_VALUE"""),"https://www.sec.gov/cgi-bin/browse-edgar?CIK=1835713")</f>
        <v>https://www.sec.gov/cgi-bin/browse-edgar?CIK=1835713</v>
      </c>
      <c r="V167" s="72" t="str">
        <f>IFERROR(__xludf.DUMMYFUNCTION("""COMPUTED_VALUE"""),"Sustainability         Well-known Sponsor  Top Tier UW ")</f>
        <v>Sustainability         Well-known Sponsor  Top Tier UW </v>
      </c>
      <c r="W167" s="73"/>
      <c r="X167" s="74"/>
      <c r="Y167" s="75"/>
      <c r="Z167" s="60"/>
      <c r="AA167" s="60"/>
      <c r="AB167" s="60"/>
      <c r="AC167" s="60"/>
      <c r="AD167" s="73"/>
      <c r="AE167" s="73"/>
      <c r="AF167" s="76"/>
      <c r="AG167" s="60" t="str">
        <f>IFERROR(__xludf.DUMMYFUNCTION("""COMPUTED_VALUE"""),"")</f>
        <v/>
      </c>
    </row>
    <row r="168">
      <c r="A168" s="54" t="str">
        <f>IFERROR(__xludf.DUMMYFUNCTION("""COMPUTED_VALUE"""),"CLOE")</f>
        <v>CLOE</v>
      </c>
      <c r="B168" s="55" t="str">
        <f>IFERROR(__xludf.DUMMYFUNCTION("""COMPUTED_VALUE"""),"Clover Leaf Capital Corp.")</f>
        <v>Clover Leaf Capital Corp.</v>
      </c>
      <c r="C168" s="56" t="str">
        <f>IFERROR(__xludf.DUMMYFUNCTION("""COMPUTED_VALUE"""),"Pre IPO")</f>
        <v>Pre IPO</v>
      </c>
      <c r="D168" s="77" t="str">
        <f>IFERROR(__xludf.DUMMYFUNCTION("""COMPUTED_VALUE"""),"Cannabis")</f>
        <v>Cannabis</v>
      </c>
      <c r="E168" s="58"/>
      <c r="F168" s="59"/>
      <c r="G168" s="60">
        <f>IFERROR(__xludf.DUMMYFUNCTION("""COMPUTED_VALUE"""),1.25E8)</f>
        <v>125000000</v>
      </c>
      <c r="H168" s="60" t="str">
        <f>IFERROR(__xludf.DUMMYFUNCTION("""COMPUTED_VALUE""")," ")</f>
        <v> </v>
      </c>
      <c r="I168" s="61" t="str">
        <f>IFERROR(__xludf.DUMMYFUNCTION("""COMPUTED_VALUE""")," ")</f>
        <v> </v>
      </c>
      <c r="J168" s="62" t="str">
        <f>IFERROR(__xludf.DUMMYFUNCTION("""COMPUTED_VALUE""")," ")</f>
        <v> </v>
      </c>
      <c r="K168" s="59" t="str">
        <f>IFERROR(__xludf.DUMMYFUNCTION("""COMPUTED_VALUE""")," ")</f>
        <v> </v>
      </c>
      <c r="L168" s="63" t="str">
        <f>IFERROR(__xludf.DUMMYFUNCTION("""COMPUTED_VALUE""")," ")</f>
        <v> </v>
      </c>
      <c r="M168" s="64" t="str">
        <f>IFERROR(__xludf.DUMMYFUNCTION("""COMPUTED_VALUE"""),"U: [1 W]; W: [1:1, $11.5]")</f>
        <v>U: [1 W]; W: [1:1, $11.5]</v>
      </c>
      <c r="N168" s="65" t="str">
        <f>IFERROR(__xludf.DUMMYFUNCTION("""COMPUTED_VALUE"""),"")</f>
        <v/>
      </c>
      <c r="O168" s="66">
        <f>IFERROR(__xludf.DUMMYFUNCTION("""COMPUTED_VALUE"""),0.0)</f>
        <v>0</v>
      </c>
      <c r="P168" s="67"/>
      <c r="Q168" s="68">
        <f>IFERROR(__xludf.DUMMYFUNCTION("""COMPUTED_VALUE"""),125.0)</f>
        <v>125</v>
      </c>
      <c r="R168" s="69" t="str">
        <f>IFERROR(__xludf.DUMMYFUNCTION("""COMPUTED_VALUE"""),"Maxim Group LLC")</f>
        <v>Maxim Group LLC</v>
      </c>
      <c r="S168" s="64">
        <f>IFERROR(__xludf.DUMMYFUNCTION("""COMPUTED_VALUE"""),45086.0)</f>
        <v>45086</v>
      </c>
      <c r="T168" s="70" t="str">
        <f>IFERROR(__xludf.DUMMYFUNCTION("""COMPUTED_VALUE"""),"")</f>
        <v/>
      </c>
      <c r="U168" s="71" t="str">
        <f>IFERROR(__xludf.DUMMYFUNCTION("""COMPUTED_VALUE"""),"https://www.sec.gov/cgi-bin/browse-edgar?CIK=1849058")</f>
        <v>https://www.sec.gov/cgi-bin/browse-edgar?CIK=1849058</v>
      </c>
      <c r="V168" s="72" t="str">
        <f>IFERROR(__xludf.DUMMYFUNCTION("""COMPUTED_VALUE"""),"        New Registration    ")</f>
        <v>        New Registration    </v>
      </c>
      <c r="W168" s="73"/>
      <c r="X168" s="74"/>
      <c r="Y168" s="75"/>
      <c r="Z168" s="60"/>
      <c r="AA168" s="60"/>
      <c r="AB168" s="60"/>
      <c r="AC168" s="60"/>
      <c r="AD168" s="73"/>
      <c r="AE168" s="73"/>
      <c r="AF168" s="76"/>
      <c r="AG168" s="60"/>
    </row>
    <row r="169">
      <c r="A169" s="54" t="str">
        <f>IFERROR(__xludf.DUMMYFUNCTION("""COMPUTED_VALUE"""),"CLRM")</f>
        <v>CLRM</v>
      </c>
      <c r="B169" s="55" t="str">
        <f>IFERROR(__xludf.DUMMYFUNCTION("""COMPUTED_VALUE"""),"Clarim Acquisition Corp.")</f>
        <v>Clarim Acquisition Corp.</v>
      </c>
      <c r="C169" s="56" t="str">
        <f>IFERROR(__xludf.DUMMYFUNCTION("""COMPUTED_VALUE"""),"Searching")</f>
        <v>Searching</v>
      </c>
      <c r="D169" s="57" t="str">
        <f>IFERROR(__xludf.DUMMYFUNCTION("""COMPUTED_VALUE"""),"Consumer e-commerce")</f>
        <v>Consumer e-commerce</v>
      </c>
      <c r="E169" s="58"/>
      <c r="F169" s="59" t="str">
        <f>IFERROR(__xludf.DUMMYFUNCTION("""COMPUTED_VALUE"""),"James McCann (CEO, 1-800-Flowers.com), Jaymin Patel (Fmr CEO, Brightstar), ")</f>
        <v>James McCann (CEO, 1-800-Flowers.com), Jaymin Patel (Fmr CEO, Brightstar), </v>
      </c>
      <c r="G169" s="60">
        <f>IFERROR(__xludf.DUMMYFUNCTION("""COMPUTED_VALUE"""),2.875E8)</f>
        <v>287500000</v>
      </c>
      <c r="H169" s="60">
        <f>IFERROR(__xludf.DUMMYFUNCTION("""COMPUTED_VALUE"""),2.8175E8)</f>
        <v>281750000</v>
      </c>
      <c r="I169" s="61">
        <f>IFERROR(__xludf.DUMMYFUNCTION("""COMPUTED_VALUE"""),9.8)</f>
        <v>9.8</v>
      </c>
      <c r="J169" s="62">
        <f>IFERROR(__xludf.DUMMYFUNCTION("""COMPUTED_VALUE"""),-0.00204)</f>
        <v>-0.00204</v>
      </c>
      <c r="K169" s="59">
        <f>IFERROR(__xludf.DUMMYFUNCTION("""COMPUTED_VALUE"""),10.03)</f>
        <v>10.03</v>
      </c>
      <c r="L169" s="63">
        <f>IFERROR(__xludf.DUMMYFUNCTION("""COMPUTED_VALUE"""),0.6899)</f>
        <v>0.6899</v>
      </c>
      <c r="M169" s="64" t="str">
        <f>IFERROR(__xludf.DUMMYFUNCTION("""COMPUTED_VALUE"""),"U: [1/3 W]; W: [1:1, $11.5]")</f>
        <v>U: [1/3 W]; W: [1:1, $11.5]</v>
      </c>
      <c r="N169" s="65">
        <f>IFERROR(__xludf.DUMMYFUNCTION("""COMPUTED_VALUE"""),44277.0)</f>
        <v>44277</v>
      </c>
      <c r="O169" s="66">
        <f>IFERROR(__xludf.DUMMYFUNCTION("""COMPUTED_VALUE"""),0.0)</f>
        <v>0</v>
      </c>
      <c r="P169" s="67">
        <f>IFERROR(__xludf.DUMMYFUNCTION("""COMPUTED_VALUE"""),44224.0)</f>
        <v>44224</v>
      </c>
      <c r="Q169" s="68">
        <f>IFERROR(__xludf.DUMMYFUNCTION("""COMPUTED_VALUE"""),287.5)</f>
        <v>287.5</v>
      </c>
      <c r="R169" s="69" t="str">
        <f>IFERROR(__xludf.DUMMYFUNCTION("""COMPUTED_VALUE"""),"Jefferies, BTIG")</f>
        <v>Jefferies, BTIG</v>
      </c>
      <c r="S169" s="64">
        <f>IFERROR(__xludf.DUMMYFUNCTION("""COMPUTED_VALUE"""),44954.0)</f>
        <v>44954</v>
      </c>
      <c r="T169" s="70">
        <f>IFERROR(__xludf.DUMMYFUNCTION("""COMPUTED_VALUE"""),0.09863013698630137)</f>
        <v>0.09863013699</v>
      </c>
      <c r="U169" s="71" t="str">
        <f>IFERROR(__xludf.DUMMYFUNCTION("""COMPUTED_VALUE"""),"https://www.sec.gov/cgi-bin/browse-edgar?CIK=1831937")</f>
        <v>https://www.sec.gov/cgi-bin/browse-edgar?CIK=1831937</v>
      </c>
      <c r="V169" s="72" t="str">
        <f>IFERROR(__xludf.DUMMYFUNCTION("""COMPUTED_VALUE""")," Trading Below $10 (Common)        Well-known Sponsor   ")</f>
        <v> Trading Below $10 (Common)        Well-known Sponsor   </v>
      </c>
      <c r="W169" s="73"/>
      <c r="X169" s="74"/>
      <c r="Y169" s="75"/>
      <c r="Z169" s="60"/>
      <c r="AA169" s="60"/>
      <c r="AB169" s="60"/>
      <c r="AC169" s="60"/>
      <c r="AD169" s="73"/>
      <c r="AE169" s="73"/>
      <c r="AF169" s="76"/>
      <c r="AG169" s="60" t="str">
        <f>IFERROR(__xludf.DUMMYFUNCTION("""COMPUTED_VALUE"""),"")</f>
        <v/>
      </c>
    </row>
    <row r="170">
      <c r="A170" s="54" t="str">
        <f>IFERROR(__xludf.DUMMYFUNCTION("""COMPUTED_VALUE"""),"CMII")</f>
        <v>CMII</v>
      </c>
      <c r="B170" s="55" t="str">
        <f>IFERROR(__xludf.DUMMYFUNCTION("""COMPUTED_VALUE"""),"CM Life Sciences II Inc.")</f>
        <v>CM Life Sciences II Inc.</v>
      </c>
      <c r="C170" s="56" t="str">
        <f>IFERROR(__xludf.DUMMYFUNCTION("""COMPUTED_VALUE"""),"Definitive Agreement (Pre Unit Split)")</f>
        <v>Definitive Agreement (Pre Unit Split)</v>
      </c>
      <c r="D170" s="77" t="str">
        <f>IFERROR(__xludf.DUMMYFUNCTION("""COMPUTED_VALUE"""),"Life Sciences, Healthcare")</f>
        <v>Life Sciences, Healthcare</v>
      </c>
      <c r="E170" s="58" t="str">
        <f>IFERROR(__xludf.DUMMYFUNCTION("""COMPUTED_VALUE"""),"SomaLogic [DA: 03/29/21]")</f>
        <v>SomaLogic [DA: 03/29/21]</v>
      </c>
      <c r="F170" s="59" t="str">
        <f>IFERROR(__xludf.DUMMYFUNCTION("""COMPUTED_VALUE"""),"Keith Meister (Founder, Corvex Management; Fmr CEO, Icahn Enterprises; Director, MGM; Fmr Director, Yum! Brands, &amp; Motorola)")</f>
        <v>Keith Meister (Founder, Corvex Management; Fmr CEO, Icahn Enterprises; Director, MGM; Fmr Director, Yum! Brands, &amp; Motorola)</v>
      </c>
      <c r="G170" s="60">
        <f>IFERROR(__xludf.DUMMYFUNCTION("""COMPUTED_VALUE"""),2.76E8)</f>
        <v>276000000</v>
      </c>
      <c r="H170" s="60" t="str">
        <f>IFERROR(__xludf.DUMMYFUNCTION("""COMPUTED_VALUE""")," ")</f>
        <v> </v>
      </c>
      <c r="I170" s="61" t="str">
        <f>IFERROR(__xludf.DUMMYFUNCTION("""COMPUTED_VALUE""")," ")</f>
        <v> </v>
      </c>
      <c r="J170" s="62" t="str">
        <f>IFERROR(__xludf.DUMMYFUNCTION("""COMPUTED_VALUE""")," ")</f>
        <v> </v>
      </c>
      <c r="K170" s="59">
        <f>IFERROR(__xludf.DUMMYFUNCTION("""COMPUTED_VALUE"""),12.98)</f>
        <v>12.98</v>
      </c>
      <c r="L170" s="63" t="str">
        <f>IFERROR(__xludf.DUMMYFUNCTION("""COMPUTED_VALUE""")," ")</f>
        <v> </v>
      </c>
      <c r="M170" s="64" t="str">
        <f>IFERROR(__xludf.DUMMYFUNCTION("""COMPUTED_VALUE"""),"U: [1/5 W]; W: [1:1, $11.5]")</f>
        <v>U: [1/5 W]; W: [1:1, $11.5]</v>
      </c>
      <c r="N170" s="65">
        <f>IFERROR(__xludf.DUMMYFUNCTION("""COMPUTED_VALUE"""),44301.0)</f>
        <v>44301</v>
      </c>
      <c r="O170" s="66" t="str">
        <f>IFERROR(__xludf.DUMMYFUNCTION("""COMPUTED_VALUE"""),"")</f>
        <v/>
      </c>
      <c r="P170" s="67">
        <f>IFERROR(__xludf.DUMMYFUNCTION("""COMPUTED_VALUE"""),44249.0)</f>
        <v>44249</v>
      </c>
      <c r="Q170" s="68">
        <f>IFERROR(__xludf.DUMMYFUNCTION("""COMPUTED_VALUE"""),276.0)</f>
        <v>276</v>
      </c>
      <c r="R170" s="69" t="str">
        <f>IFERROR(__xludf.DUMMYFUNCTION("""COMPUTED_VALUE"""),"Jefferies")</f>
        <v>Jefferies</v>
      </c>
      <c r="S170" s="64">
        <f>IFERROR(__xludf.DUMMYFUNCTION("""COMPUTED_VALUE"""),44979.0)</f>
        <v>44979</v>
      </c>
      <c r="T170" s="70">
        <f>IFERROR(__xludf.DUMMYFUNCTION("""COMPUTED_VALUE"""),0.06438356164383562)</f>
        <v>0.06438356164</v>
      </c>
      <c r="U170" s="71" t="str">
        <f>IFERROR(__xludf.DUMMYFUNCTION("""COMPUTED_VALUE"""),"https://www.sec.gov/cgi-bin/browse-edgar?CIK=1837412")</f>
        <v>https://www.sec.gov/cgi-bin/browse-edgar?CIK=1837412</v>
      </c>
      <c r="V170" s="72" t="str">
        <f>IFERROR(__xludf.DUMMYFUNCTION("""COMPUTED_VALUE"""),"         Well-known Sponsor   ")</f>
        <v>         Well-known Sponsor   </v>
      </c>
      <c r="W170" s="73">
        <f>IFERROR(__xludf.DUMMYFUNCTION("""COMPUTED_VALUE"""),44284.0)</f>
        <v>44284</v>
      </c>
      <c r="X170" s="79">
        <f>IFERROR(__xludf.DUMMYFUNCTION("""COMPUTED_VALUE"""),1.1666666666666667)</f>
        <v>1.166666667</v>
      </c>
      <c r="Y170" s="80" t="str">
        <f>IFERROR(__xludf.DUMMYFUNCTION("""COMPUTED_VALUE"""),"https://www.businesswire.com/news/home/20210329005184/en/")</f>
        <v>https://www.businesswire.com/news/home/20210329005184/en/</v>
      </c>
      <c r="Z170" s="81" t="str">
        <f>IFERROR(__xludf.DUMMYFUNCTION("""COMPUTED_VALUE"""),"https://www.sec.gov/Archives/edgar/data/1837412/000121390021018106/ea138502ex99-2_cmlife2.htm")</f>
        <v>https://www.sec.gov/Archives/edgar/data/1837412/000121390021018106/ea138502ex99-2_cmlife2.htm</v>
      </c>
      <c r="AA170" s="60">
        <f>IFERROR(__xludf.DUMMYFUNCTION("""COMPUTED_VALUE"""),3.75E8)</f>
        <v>375000000</v>
      </c>
      <c r="AB170" s="60">
        <f>IFERROR(__xludf.DUMMYFUNCTION("""COMPUTED_VALUE"""),1.92E9)</f>
        <v>1920000000</v>
      </c>
      <c r="AC170" s="60">
        <f>IFERROR(__xludf.DUMMYFUNCTION("""COMPUTED_VALUE"""),1.234E9)</f>
        <v>1234000000</v>
      </c>
      <c r="AD170" s="73"/>
      <c r="AE170" s="73"/>
      <c r="AF170" s="76">
        <f>IFERROR(__xludf.DUMMYFUNCTION("""COMPUTED_VALUE"""),1.92E8)</f>
        <v>192000000</v>
      </c>
      <c r="AG170" s="60" t="str">
        <f>IFERROR(__xludf.DUMMYFUNCTION("""COMPUTED_VALUE"""),"#VALUE!")</f>
        <v>#VALUE!</v>
      </c>
    </row>
    <row r="171">
      <c r="A171" s="54" t="str">
        <f>IFERROR(__xludf.DUMMYFUNCTION("""COMPUTED_VALUE"""),"CMLF")</f>
        <v>CMLF</v>
      </c>
      <c r="B171" s="55" t="str">
        <f>IFERROR(__xludf.DUMMYFUNCTION("""COMPUTED_VALUE"""),"CM Life Sciences, Inc.")</f>
        <v>CM Life Sciences, Inc.</v>
      </c>
      <c r="C171" s="56" t="str">
        <f>IFERROR(__xludf.DUMMYFUNCTION("""COMPUTED_VALUE"""),"Definitive Agreement")</f>
        <v>Definitive Agreement</v>
      </c>
      <c r="D171" s="57" t="str">
        <f>IFERROR(__xludf.DUMMYFUNCTION("""COMPUTED_VALUE"""),"Life Sciences, Healthcare")</f>
        <v>Life Sciences, Healthcare</v>
      </c>
      <c r="E171" s="58" t="str">
        <f>IFERROR(__xludf.DUMMYFUNCTION("""COMPUTED_VALUE"""),"Sema4 [DA: 02/10/21]")</f>
        <v>Sema4 [DA: 02/10/21]</v>
      </c>
      <c r="F171" s="59" t="str">
        <f>IFERROR(__xludf.DUMMYFUNCTION("""COMPUTED_VALUE"""),"Keith Meister (Founder, Corvex Management, Fmr CEO, Icahn Enterprises; Director, MGM; Fmr Director, Yum! Brands, Motorola)")</f>
        <v>Keith Meister (Founder, Corvex Management, Fmr CEO, Icahn Enterprises; Director, MGM; Fmr Director, Yum! Brands, Motorola)</v>
      </c>
      <c r="G171" s="60">
        <f>IFERROR(__xludf.DUMMYFUNCTION("""COMPUTED_VALUE"""),4.4275279E8)</f>
        <v>442752790</v>
      </c>
      <c r="H171" s="60">
        <f>IFERROR(__xludf.DUMMYFUNCTION("""COMPUTED_VALUE"""),6.64125E8)</f>
        <v>664125000</v>
      </c>
      <c r="I171" s="61">
        <f>IFERROR(__xludf.DUMMYFUNCTION("""COMPUTED_VALUE"""),15.0)</f>
        <v>15</v>
      </c>
      <c r="J171" s="62">
        <f>IFERROR(__xludf.DUMMYFUNCTION("""COMPUTED_VALUE"""),-0.02787)</f>
        <v>-0.02787</v>
      </c>
      <c r="K171" s="59">
        <f>IFERROR(__xludf.DUMMYFUNCTION("""COMPUTED_VALUE"""),16.58)</f>
        <v>16.58</v>
      </c>
      <c r="L171" s="63">
        <f>IFERROR(__xludf.DUMMYFUNCTION("""COMPUTED_VALUE"""),5.0594)</f>
        <v>5.0594</v>
      </c>
      <c r="M171" s="64" t="str">
        <f>IFERROR(__xludf.DUMMYFUNCTION("""COMPUTED_VALUE"""),"U: [1/3 W]; W: [1:1, $11.5]")</f>
        <v>U: [1/3 W]; W: [1:1, $11.5]</v>
      </c>
      <c r="N171" s="65" t="str">
        <f>IFERROR(__xludf.DUMMYFUNCTION("""COMPUTED_VALUE"""),"")</f>
        <v/>
      </c>
      <c r="O171" s="66">
        <f>IFERROR(__xludf.DUMMYFUNCTION("""COMPUTED_VALUE"""),3.5)</f>
        <v>3.5</v>
      </c>
      <c r="P171" s="67">
        <f>IFERROR(__xludf.DUMMYFUNCTION("""COMPUTED_VALUE"""),44075.0)</f>
        <v>44075</v>
      </c>
      <c r="Q171" s="68">
        <f>IFERROR(__xludf.DUMMYFUNCTION("""COMPUTED_VALUE"""),442.75)</f>
        <v>442.75</v>
      </c>
      <c r="R171" s="69" t="str">
        <f>IFERROR(__xludf.DUMMYFUNCTION("""COMPUTED_VALUE"""),"Jefferies")</f>
        <v>Jefferies</v>
      </c>
      <c r="S171" s="64">
        <f>IFERROR(__xludf.DUMMYFUNCTION("""COMPUTED_VALUE"""),44805.0)</f>
        <v>44805</v>
      </c>
      <c r="T171" s="70">
        <f>IFERROR(__xludf.DUMMYFUNCTION("""COMPUTED_VALUE"""),0.30273972602739724)</f>
        <v>0.302739726</v>
      </c>
      <c r="U171" s="71" t="str">
        <f>IFERROR(__xludf.DUMMYFUNCTION("""COMPUTED_VALUE"""),"https://www.sec.gov/cgi-bin/browse-edgar?CIK=1818331")</f>
        <v>https://www.sec.gov/cgi-bin/browse-edgar?CIK=1818331</v>
      </c>
      <c r="V171" s="72" t="str">
        <f>IFERROR(__xludf.DUMMYFUNCTION("""COMPUTED_VALUE"""),"     Optionable    Well-known Sponsor   ")</f>
        <v>     Optionable    Well-known Sponsor   </v>
      </c>
      <c r="W171" s="73">
        <f>IFERROR(__xludf.DUMMYFUNCTION("""COMPUTED_VALUE"""),44237.0)</f>
        <v>44237</v>
      </c>
      <c r="X171" s="79">
        <f>IFERROR(__xludf.DUMMYFUNCTION("""COMPUTED_VALUE"""),5.4)</f>
        <v>5.4</v>
      </c>
      <c r="Y171" s="80" t="str">
        <f>IFERROR(__xludf.DUMMYFUNCTION("""COMPUTED_VALUE"""),"https://www.businesswire.com/news/home/20210210005493/en/%C2%A0Sema4-a-Disruptive-AI-driven-Genomic-Clinical-Data-Platform-Company-to-Combine-with-CM-Life-Sciences-to-Accelerate-Growth")</f>
        <v>https://www.businesswire.com/news/home/20210210005493/en/%C2%A0Sema4-a-Disruptive-AI-driven-Genomic-Clinical-Data-Platform-Company-to-Combine-with-CM-Life-Sciences-to-Accelerate-Growth</v>
      </c>
      <c r="Z171" s="81" t="str">
        <f>IFERROR(__xludf.DUMMYFUNCTION("""COMPUTED_VALUE"""),"https://www.sec.gov/Archives/edgar/data/1818331/000121390021007928/ea135108ex99-2_cmlifescience.htm")</f>
        <v>https://www.sec.gov/Archives/edgar/data/1818331/000121390021007928/ea135108ex99-2_cmlifescience.htm</v>
      </c>
      <c r="AA171" s="60">
        <f>IFERROR(__xludf.DUMMYFUNCTION("""COMPUTED_VALUE"""),3.5E8)</f>
        <v>350000000</v>
      </c>
      <c r="AB171" s="60">
        <f>IFERROR(__xludf.DUMMYFUNCTION("""COMPUTED_VALUE"""),2.571E9)</f>
        <v>2571000000</v>
      </c>
      <c r="AC171" s="60">
        <f>IFERROR(__xludf.DUMMYFUNCTION("""COMPUTED_VALUE"""),2.071E9)</f>
        <v>2071000000</v>
      </c>
      <c r="AD171" s="73"/>
      <c r="AE171" s="73"/>
      <c r="AF171" s="76">
        <f>IFERROR(__xludf.DUMMYFUNCTION("""COMPUTED_VALUE"""),2.571E8)</f>
        <v>257100000</v>
      </c>
      <c r="AG171" s="60">
        <f>IFERROR(__xludf.DUMMYFUNCTION("""COMPUTED_VALUE"""),3.8565E9)</f>
        <v>3856500000</v>
      </c>
    </row>
    <row r="172">
      <c r="A172" s="54" t="str">
        <f>IFERROR(__xludf.DUMMYFUNCTION("""COMPUTED_VALUE"""),"CMLT")</f>
        <v>CMLT</v>
      </c>
      <c r="B172" s="55" t="str">
        <f>IFERROR(__xludf.DUMMYFUNCTION("""COMPUTED_VALUE"""),"CM Life Sciences III Inc.")</f>
        <v>CM Life Sciences III Inc.</v>
      </c>
      <c r="C172" s="56" t="str">
        <f>IFERROR(__xludf.DUMMYFUNCTION("""COMPUTED_VALUE"""),"Searching (Pre Unit Split)")</f>
        <v>Searching (Pre Unit Split)</v>
      </c>
      <c r="D172" s="77" t="str">
        <f>IFERROR(__xludf.DUMMYFUNCTION("""COMPUTED_VALUE"""),"Life Sciences, Healthcare")</f>
        <v>Life Sciences, Healthcare</v>
      </c>
      <c r="E172" s="58"/>
      <c r="F172" s="59" t="str">
        <f>IFERROR(__xludf.DUMMYFUNCTION("""COMPUTED_VALUE"""),"Keith Meister (Founder of Corvex Management, Former CEO of Icahn Enterprises, Director of MGM Resorts International, and Former Director of Yum! Brands &amp; Motorola)")</f>
        <v>Keith Meister (Founder of Corvex Management, Former CEO of Icahn Enterprises, Director of MGM Resorts International, and Former Director of Yum! Brands &amp; Motorola)</v>
      </c>
      <c r="G172" s="60">
        <f>IFERROR(__xludf.DUMMYFUNCTION("""COMPUTED_VALUE"""),5.52E8)</f>
        <v>552000000</v>
      </c>
      <c r="H172" s="60" t="str">
        <f>IFERROR(__xludf.DUMMYFUNCTION("""COMPUTED_VALUE""")," ")</f>
        <v> </v>
      </c>
      <c r="I172" s="61" t="str">
        <f>IFERROR(__xludf.DUMMYFUNCTION("""COMPUTED_VALUE""")," ")</f>
        <v> </v>
      </c>
      <c r="J172" s="62" t="str">
        <f>IFERROR(__xludf.DUMMYFUNCTION("""COMPUTED_VALUE""")," ")</f>
        <v> </v>
      </c>
      <c r="K172" s="59">
        <f>IFERROR(__xludf.DUMMYFUNCTION("""COMPUTED_VALUE"""),11.2)</f>
        <v>11.2</v>
      </c>
      <c r="L172" s="63" t="str">
        <f>IFERROR(__xludf.DUMMYFUNCTION("""COMPUTED_VALUE""")," ")</f>
        <v> </v>
      </c>
      <c r="M172" s="64" t="str">
        <f>IFERROR(__xludf.DUMMYFUNCTION("""COMPUTED_VALUE"""),"U: [1/5 W]; W: [1:1, $11.5]")</f>
        <v>U: [1/5 W]; W: [1:1, $11.5]</v>
      </c>
      <c r="N172" s="65">
        <f>IFERROR(__xludf.DUMMYFUNCTION("""COMPUTED_VALUE"""),44345.0)</f>
        <v>44345</v>
      </c>
      <c r="O172" s="66">
        <f>IFERROR(__xludf.DUMMYFUNCTION("""COMPUTED_VALUE"""),0.0)</f>
        <v>0</v>
      </c>
      <c r="P172" s="67">
        <f>IFERROR(__xludf.DUMMYFUNCTION("""COMPUTED_VALUE"""),44293.0)</f>
        <v>44293</v>
      </c>
      <c r="Q172" s="68">
        <f>IFERROR(__xludf.DUMMYFUNCTION("""COMPUTED_VALUE"""),552.0)</f>
        <v>552</v>
      </c>
      <c r="R172" s="69" t="str">
        <f>IFERROR(__xludf.DUMMYFUNCTION("""COMPUTED_VALUE"""),"Jefferies, Cowen")</f>
        <v>Jefferies, Cowen</v>
      </c>
      <c r="S172" s="64">
        <f>IFERROR(__xludf.DUMMYFUNCTION("""COMPUTED_VALUE"""),45023.0)</f>
        <v>45023</v>
      </c>
      <c r="T172" s="70">
        <f>IFERROR(__xludf.DUMMYFUNCTION("""COMPUTED_VALUE"""),0.00410958904109589)</f>
        <v>0.004109589041</v>
      </c>
      <c r="U172" s="71" t="str">
        <f>IFERROR(__xludf.DUMMYFUNCTION("""COMPUTED_VALUE"""),"https://www.sec.gov/cgi-bin/browse-edgar?CIK=1843762")</f>
        <v>https://www.sec.gov/cgi-bin/browse-edgar?CIK=1843762</v>
      </c>
      <c r="V172" s="72" t="str">
        <f>IFERROR(__xludf.DUMMYFUNCTION("""COMPUTED_VALUE"""),"  Recent IPO $500M+ Trust     Well-known Sponsor   ")</f>
        <v>  Recent IPO $500M+ Trust     Well-known Sponsor   </v>
      </c>
      <c r="W172" s="73"/>
      <c r="X172" s="74"/>
      <c r="Y172" s="75"/>
      <c r="Z172" s="60"/>
      <c r="AA172" s="60"/>
      <c r="AB172" s="60"/>
      <c r="AC172" s="60"/>
      <c r="AD172" s="73"/>
      <c r="AE172" s="73"/>
      <c r="AF172" s="76"/>
      <c r="AG172" s="60"/>
    </row>
    <row r="173">
      <c r="A173" s="54" t="str">
        <f>IFERROR(__xludf.DUMMYFUNCTION("""COMPUTED_VALUE"""),"CNAQ")</f>
        <v>CNAQ</v>
      </c>
      <c r="B173" s="55" t="str">
        <f>IFERROR(__xludf.DUMMYFUNCTION("""COMPUTED_VALUE"""),"Chardan Nextech Acquisiton Corp")</f>
        <v>Chardan Nextech Acquisiton Corp</v>
      </c>
      <c r="C173" s="56" t="str">
        <f>IFERROR(__xludf.DUMMYFUNCTION("""COMPUTED_VALUE"""),"Pre IPO")</f>
        <v>Pre IPO</v>
      </c>
      <c r="D173" s="77" t="str">
        <f>IFERROR(__xludf.DUMMYFUNCTION("""COMPUTED_VALUE"""),"Healthtech, Fintech")</f>
        <v>Healthtech, Fintech</v>
      </c>
      <c r="E173" s="58"/>
      <c r="F173" s="59" t="str">
        <f>IFERROR(__xludf.DUMMYFUNCTION("""COMPUTED_VALUE"""),"Kerry Propper (Co-founder/Fmr CEO, Chardan), Steven Urbach (Co-founder/CEO, Chardan)")</f>
        <v>Kerry Propper (Co-founder/Fmr CEO, Chardan), Steven Urbach (Co-founder/CEO, Chardan)</v>
      </c>
      <c r="G173" s="60">
        <f>IFERROR(__xludf.DUMMYFUNCTION("""COMPUTED_VALUE"""),2.0E8)</f>
        <v>200000000</v>
      </c>
      <c r="H173" s="60" t="str">
        <f>IFERROR(__xludf.DUMMYFUNCTION("""COMPUTED_VALUE""")," ")</f>
        <v> </v>
      </c>
      <c r="I173" s="61" t="str">
        <f>IFERROR(__xludf.DUMMYFUNCTION("""COMPUTED_VALUE""")," ")</f>
        <v> </v>
      </c>
      <c r="J173" s="62" t="str">
        <f>IFERROR(__xludf.DUMMYFUNCTION("""COMPUTED_VALUE""")," ")</f>
        <v> </v>
      </c>
      <c r="K173" s="59" t="str">
        <f>IFERROR(__xludf.DUMMYFUNCTION("""COMPUTED_VALUE""")," ")</f>
        <v> </v>
      </c>
      <c r="L173" s="63" t="str">
        <f>IFERROR(__xludf.DUMMYFUNCTION("""COMPUTED_VALUE""")," ")</f>
        <v> </v>
      </c>
      <c r="M173" s="64" t="str">
        <f>IFERROR(__xludf.DUMMYFUNCTION("""COMPUTED_VALUE"""),"U: [1/3 W]; W: [1:1, $11.5]")</f>
        <v>U: [1/3 W]; W: [1:1, $11.5]</v>
      </c>
      <c r="N173" s="65" t="str">
        <f>IFERROR(__xludf.DUMMYFUNCTION("""COMPUTED_VALUE"""),"")</f>
        <v/>
      </c>
      <c r="O173" s="66">
        <f>IFERROR(__xludf.DUMMYFUNCTION("""COMPUTED_VALUE"""),0.0)</f>
        <v>0</v>
      </c>
      <c r="P173" s="67"/>
      <c r="Q173" s="68">
        <f>IFERROR(__xludf.DUMMYFUNCTION("""COMPUTED_VALUE"""),200.0)</f>
        <v>200</v>
      </c>
      <c r="R173" s="69" t="str">
        <f>IFERROR(__xludf.DUMMYFUNCTION("""COMPUTED_VALUE"""),"Chardan")</f>
        <v>Chardan</v>
      </c>
      <c r="S173" s="64">
        <f>IFERROR(__xludf.DUMMYFUNCTION("""COMPUTED_VALUE"""),45086.0)</f>
        <v>45086</v>
      </c>
      <c r="T173" s="70" t="str">
        <f>IFERROR(__xludf.DUMMYFUNCTION("""COMPUTED_VALUE"""),"")</f>
        <v/>
      </c>
      <c r="U173" s="71" t="str">
        <f>IFERROR(__xludf.DUMMYFUNCTION("""COMPUTED_VALUE"""),"https://www.sec.gov/cgi-bin/browse-edgar?CIK=1842431")</f>
        <v>https://www.sec.gov/cgi-bin/browse-edgar?CIK=1842431</v>
      </c>
      <c r="V173" s="72" t="str">
        <f>IFERROR(__xludf.DUMMYFUNCTION("""COMPUTED_VALUE"""),"          Serial Sponsor  ")</f>
        <v>          Serial Sponsor  </v>
      </c>
      <c r="W173" s="73"/>
      <c r="X173" s="74"/>
      <c r="Y173" s="75"/>
      <c r="Z173" s="60"/>
      <c r="AA173" s="60"/>
      <c r="AB173" s="60"/>
      <c r="AC173" s="60"/>
      <c r="AD173" s="73"/>
      <c r="AE173" s="73"/>
      <c r="AF173" s="76"/>
      <c r="AG173" s="60"/>
    </row>
    <row r="174">
      <c r="A174" s="54" t="str">
        <f>IFERROR(__xludf.DUMMYFUNCTION("""COMPUTED_VALUE"""),"CND")</f>
        <v>CND</v>
      </c>
      <c r="B174" s="55" t="str">
        <f>IFERROR(__xludf.DUMMYFUNCTION("""COMPUTED_VALUE"""),"Concord Acquisition Corp")</f>
        <v>Concord Acquisition Corp</v>
      </c>
      <c r="C174" s="56" t="str">
        <f>IFERROR(__xludf.DUMMYFUNCTION("""COMPUTED_VALUE"""),"Searching")</f>
        <v>Searching</v>
      </c>
      <c r="D174" s="57" t="str">
        <f>IFERROR(__xludf.DUMMYFUNCTION("""COMPUTED_VALUE"""),"Financial Services, Fintech")</f>
        <v>Financial Services, Fintech</v>
      </c>
      <c r="E174" s="58"/>
      <c r="F174" s="59" t="str">
        <f>IFERROR(__xludf.DUMMYFUNCTION("""COMPUTED_VALUE"""),"Bob Diamond (Fmr CEO, Barclays), Thomas King (Fmr CEO of Investment Banking, Barclays), Larry Leibowitz (Director, Cowen)")</f>
        <v>Bob Diamond (Fmr CEO, Barclays), Thomas King (Fmr CEO of Investment Banking, Barclays), Larry Leibowitz (Director, Cowen)</v>
      </c>
      <c r="G174" s="60">
        <f>IFERROR(__xludf.DUMMYFUNCTION("""COMPUTED_VALUE"""),2.76E8)</f>
        <v>276000000</v>
      </c>
      <c r="H174" s="60">
        <f>IFERROR(__xludf.DUMMYFUNCTION("""COMPUTED_VALUE"""),2.8181888E8)</f>
        <v>281818880</v>
      </c>
      <c r="I174" s="61">
        <f>IFERROR(__xludf.DUMMYFUNCTION("""COMPUTED_VALUE"""),9.94)</f>
        <v>9.94</v>
      </c>
      <c r="J174" s="62">
        <f>IFERROR(__xludf.DUMMYFUNCTION("""COMPUTED_VALUE"""),0.00101)</f>
        <v>0.00101</v>
      </c>
      <c r="K174" s="59">
        <f>IFERROR(__xludf.DUMMYFUNCTION("""COMPUTED_VALUE"""),10.39)</f>
        <v>10.39</v>
      </c>
      <c r="L174" s="63">
        <f>IFERROR(__xludf.DUMMYFUNCTION("""COMPUTED_VALUE"""),0.95)</f>
        <v>0.95</v>
      </c>
      <c r="M174" s="64" t="str">
        <f>IFERROR(__xludf.DUMMYFUNCTION("""COMPUTED_VALUE"""),"U: [1/2 W]; W: [1:1, $11.5]")</f>
        <v>U: [1/2 W]; W: [1:1, $11.5]</v>
      </c>
      <c r="N174" s="65" t="str">
        <f>IFERROR(__xludf.DUMMYFUNCTION("""COMPUTED_VALUE"""),"")</f>
        <v/>
      </c>
      <c r="O174" s="66">
        <f>IFERROR(__xludf.DUMMYFUNCTION("""COMPUTED_VALUE"""),0.0)</f>
        <v>0</v>
      </c>
      <c r="P174" s="67">
        <f>IFERROR(__xludf.DUMMYFUNCTION("""COMPUTED_VALUE"""),44172.0)</f>
        <v>44172</v>
      </c>
      <c r="Q174" s="68">
        <f>IFERROR(__xludf.DUMMYFUNCTION("""COMPUTED_VALUE"""),276.0)</f>
        <v>276</v>
      </c>
      <c r="R174" s="69" t="str">
        <f>IFERROR(__xludf.DUMMYFUNCTION("""COMPUTED_VALUE"""),"Cowen")</f>
        <v>Cowen</v>
      </c>
      <c r="S174" s="64">
        <f>IFERROR(__xludf.DUMMYFUNCTION("""COMPUTED_VALUE"""),44902.0)</f>
        <v>44902</v>
      </c>
      <c r="T174" s="70">
        <f>IFERROR(__xludf.DUMMYFUNCTION("""COMPUTED_VALUE"""),0.16986301369863013)</f>
        <v>0.1698630137</v>
      </c>
      <c r="U174" s="71" t="str">
        <f>IFERROR(__xludf.DUMMYFUNCTION("""COMPUTED_VALUE"""),"https://www.sec.gov/cgi-bin/browse-edgar?CIK=1824301")</f>
        <v>https://www.sec.gov/cgi-bin/browse-edgar?CIK=1824301</v>
      </c>
      <c r="V174" s="72" t="str">
        <f>IFERROR(__xludf.DUMMYFUNCTION("""COMPUTED_VALUE""")," Trading Below $10 (Common)        Well-known Sponsor   ")</f>
        <v> Trading Below $10 (Common)        Well-known Sponsor   </v>
      </c>
      <c r="W174" s="73"/>
      <c r="X174" s="74"/>
      <c r="Y174" s="75"/>
      <c r="Z174" s="60"/>
      <c r="AA174" s="60"/>
      <c r="AB174" s="60"/>
      <c r="AC174" s="60"/>
      <c r="AD174" s="73"/>
      <c r="AE174" s="73"/>
      <c r="AF174" s="76"/>
      <c r="AG174" s="60" t="str">
        <f>IFERROR(__xludf.DUMMYFUNCTION("""COMPUTED_VALUE"""),"")</f>
        <v/>
      </c>
    </row>
    <row r="175">
      <c r="A175" s="54" t="str">
        <f>IFERROR(__xludf.DUMMYFUNCTION("""COMPUTED_VALUE"""),"CNDA")</f>
        <v>CNDA</v>
      </c>
      <c r="B175" s="55" t="str">
        <f>IFERROR(__xludf.DUMMYFUNCTION("""COMPUTED_VALUE"""),"Concord Acquisition Corp II")</f>
        <v>Concord Acquisition Corp II</v>
      </c>
      <c r="C175" s="56" t="str">
        <f>IFERROR(__xludf.DUMMYFUNCTION("""COMPUTED_VALUE"""),"Pre IPO")</f>
        <v>Pre IPO</v>
      </c>
      <c r="D175" s="57" t="str">
        <f>IFERROR(__xludf.DUMMYFUNCTION("""COMPUTED_VALUE"""),"Financial Services, Fintech")</f>
        <v>Financial Services, Fintech</v>
      </c>
      <c r="E175" s="58"/>
      <c r="F175" s="59" t="str">
        <f>IFERROR(__xludf.DUMMYFUNCTION("""COMPUTED_VALUE"""),"Bob Diamond (Fmr CEO, Barclays), Thomas King (Fmr CEO of Investment Banking, Barclays), Larry Leibowitz (Director, Cowen)")</f>
        <v>Bob Diamond (Fmr CEO, Barclays), Thomas King (Fmr CEO of Investment Banking, Barclays), Larry Leibowitz (Director, Cowen)</v>
      </c>
      <c r="G175" s="60">
        <f>IFERROR(__xludf.DUMMYFUNCTION("""COMPUTED_VALUE"""),2.5E8)</f>
        <v>250000000</v>
      </c>
      <c r="H175" s="60" t="str">
        <f>IFERROR(__xludf.DUMMYFUNCTION("""COMPUTED_VALUE""")," ")</f>
        <v> </v>
      </c>
      <c r="I175" s="61" t="str">
        <f>IFERROR(__xludf.DUMMYFUNCTION("""COMPUTED_VALUE""")," ")</f>
        <v> </v>
      </c>
      <c r="J175" s="62" t="str">
        <f>IFERROR(__xludf.DUMMYFUNCTION("""COMPUTED_VALUE""")," ")</f>
        <v> </v>
      </c>
      <c r="K175" s="59" t="str">
        <f>IFERROR(__xludf.DUMMYFUNCTION("""COMPUTED_VALUE""")," ")</f>
        <v> </v>
      </c>
      <c r="L175" s="63" t="str">
        <f>IFERROR(__xludf.DUMMYFUNCTION("""COMPUTED_VALUE""")," ")</f>
        <v> </v>
      </c>
      <c r="M175" s="64" t="str">
        <f>IFERROR(__xludf.DUMMYFUNCTION("""COMPUTED_VALUE"""),"U: [1/3 W]; W: [1:1, $11.5]")</f>
        <v>U: [1/3 W]; W: [1:1, $11.5]</v>
      </c>
      <c r="N175" s="65" t="str">
        <f>IFERROR(__xludf.DUMMYFUNCTION("""COMPUTED_VALUE"""),"")</f>
        <v/>
      </c>
      <c r="O175" s="66">
        <f>IFERROR(__xludf.DUMMYFUNCTION("""COMPUTED_VALUE"""),0.0)</f>
        <v>0</v>
      </c>
      <c r="P175" s="67"/>
      <c r="Q175" s="68">
        <f>IFERROR(__xludf.DUMMYFUNCTION("""COMPUTED_VALUE"""),250.0)</f>
        <v>250</v>
      </c>
      <c r="R175" s="69" t="str">
        <f>IFERROR(__xludf.DUMMYFUNCTION("""COMPUTED_VALUE"""),"Cowen")</f>
        <v>Cowen</v>
      </c>
      <c r="S175" s="64">
        <f>IFERROR(__xludf.DUMMYFUNCTION("""COMPUTED_VALUE"""),45086.0)</f>
        <v>45086</v>
      </c>
      <c r="T175" s="70" t="str">
        <f>IFERROR(__xludf.DUMMYFUNCTION("""COMPUTED_VALUE"""),"")</f>
        <v/>
      </c>
      <c r="U175" s="71" t="str">
        <f>IFERROR(__xludf.DUMMYFUNCTION("""COMPUTED_VALUE"""),"https://www.sec.gov/cgi-bin/browse-edgar?CIK=1851959")</f>
        <v>https://www.sec.gov/cgi-bin/browse-edgar?CIK=1851959</v>
      </c>
      <c r="V175" s="72" t="str">
        <f>IFERROR(__xludf.DUMMYFUNCTION("""COMPUTED_VALUE"""),"         Well-known Sponsor   ")</f>
        <v>         Well-known Sponsor   </v>
      </c>
      <c r="W175" s="73"/>
      <c r="X175" s="74"/>
      <c r="Y175" s="75"/>
      <c r="Z175" s="60"/>
      <c r="AA175" s="60"/>
      <c r="AB175" s="60"/>
      <c r="AC175" s="60"/>
      <c r="AD175" s="73"/>
      <c r="AE175" s="73"/>
      <c r="AF175" s="76"/>
      <c r="AG175" s="60"/>
    </row>
    <row r="176">
      <c r="A176" s="54" t="str">
        <f>IFERROR(__xludf.DUMMYFUNCTION("""COMPUTED_VALUE"""),"CNDB")</f>
        <v>CNDB</v>
      </c>
      <c r="B176" s="55" t="str">
        <f>IFERROR(__xludf.DUMMYFUNCTION("""COMPUTED_VALUE"""),"Concord Acquisition Corp III")</f>
        <v>Concord Acquisition Corp III</v>
      </c>
      <c r="C176" s="56" t="str">
        <f>IFERROR(__xludf.DUMMYFUNCTION("""COMPUTED_VALUE"""),"Pre IPO")</f>
        <v>Pre IPO</v>
      </c>
      <c r="D176" s="57" t="str">
        <f>IFERROR(__xludf.DUMMYFUNCTION("""COMPUTED_VALUE"""),"Financial Services, Fintech")</f>
        <v>Financial Services, Fintech</v>
      </c>
      <c r="E176" s="58"/>
      <c r="F176" s="59" t="str">
        <f>IFERROR(__xludf.DUMMYFUNCTION("""COMPUTED_VALUE"""),"Bob Diamond (Fmr CEO, Barclays), Thomas King (Fmr CEO of Investment Banking, Barclays), Larry Leibowitz (Director, Cowen)")</f>
        <v>Bob Diamond (Fmr CEO, Barclays), Thomas King (Fmr CEO of Investment Banking, Barclays), Larry Leibowitz (Director, Cowen)</v>
      </c>
      <c r="G176" s="60">
        <f>IFERROR(__xludf.DUMMYFUNCTION("""COMPUTED_VALUE"""),2.5E8)</f>
        <v>250000000</v>
      </c>
      <c r="H176" s="60" t="str">
        <f>IFERROR(__xludf.DUMMYFUNCTION("""COMPUTED_VALUE""")," ")</f>
        <v> </v>
      </c>
      <c r="I176" s="61" t="str">
        <f>IFERROR(__xludf.DUMMYFUNCTION("""COMPUTED_VALUE""")," ")</f>
        <v> </v>
      </c>
      <c r="J176" s="62" t="str">
        <f>IFERROR(__xludf.DUMMYFUNCTION("""COMPUTED_VALUE""")," ")</f>
        <v> </v>
      </c>
      <c r="K176" s="59" t="str">
        <f>IFERROR(__xludf.DUMMYFUNCTION("""COMPUTED_VALUE""")," ")</f>
        <v> </v>
      </c>
      <c r="L176" s="63" t="str">
        <f>IFERROR(__xludf.DUMMYFUNCTION("""COMPUTED_VALUE""")," ")</f>
        <v> </v>
      </c>
      <c r="M176" s="64" t="str">
        <f>IFERROR(__xludf.DUMMYFUNCTION("""COMPUTED_VALUE"""),"U: [1/3 W]; W: [1:1, $11.5]")</f>
        <v>U: [1/3 W]; W: [1:1, $11.5]</v>
      </c>
      <c r="N176" s="65" t="str">
        <f>IFERROR(__xludf.DUMMYFUNCTION("""COMPUTED_VALUE"""),"")</f>
        <v/>
      </c>
      <c r="O176" s="66">
        <f>IFERROR(__xludf.DUMMYFUNCTION("""COMPUTED_VALUE"""),0.0)</f>
        <v>0</v>
      </c>
      <c r="P176" s="67"/>
      <c r="Q176" s="68">
        <f>IFERROR(__xludf.DUMMYFUNCTION("""COMPUTED_VALUE"""),250.0)</f>
        <v>250</v>
      </c>
      <c r="R176" s="69" t="str">
        <f>IFERROR(__xludf.DUMMYFUNCTION("""COMPUTED_VALUE"""),"Cowen")</f>
        <v>Cowen</v>
      </c>
      <c r="S176" s="64">
        <f>IFERROR(__xludf.DUMMYFUNCTION("""COMPUTED_VALUE"""),45086.0)</f>
        <v>45086</v>
      </c>
      <c r="T176" s="70" t="str">
        <f>IFERROR(__xludf.DUMMYFUNCTION("""COMPUTED_VALUE"""),"")</f>
        <v/>
      </c>
      <c r="U176" s="71" t="str">
        <f>IFERROR(__xludf.DUMMYFUNCTION("""COMPUTED_VALUE"""),"https://www.sec.gov/cgi-bin/browse-edgar?CIK=1851961")</f>
        <v>https://www.sec.gov/cgi-bin/browse-edgar?CIK=1851961</v>
      </c>
      <c r="V176" s="72" t="str">
        <f>IFERROR(__xludf.DUMMYFUNCTION("""COMPUTED_VALUE"""),"         Well-known Sponsor   ")</f>
        <v>         Well-known Sponsor   </v>
      </c>
      <c r="W176" s="73"/>
      <c r="X176" s="74"/>
      <c r="Y176" s="75"/>
      <c r="Z176" s="60"/>
      <c r="AA176" s="60"/>
      <c r="AB176" s="60"/>
      <c r="AC176" s="60"/>
      <c r="AD176" s="73"/>
      <c r="AE176" s="73"/>
      <c r="AF176" s="76"/>
      <c r="AG176" s="60"/>
    </row>
    <row r="177">
      <c r="A177" s="54" t="str">
        <f>IFERROR(__xludf.DUMMYFUNCTION("""COMPUTED_VALUE"""),"CNTQ")</f>
        <v>CNTQ</v>
      </c>
      <c r="B177" s="55" t="str">
        <f>IFERROR(__xludf.DUMMYFUNCTION("""COMPUTED_VALUE"""),"Chardan NexTech Acquisition 2 Corp.")</f>
        <v>Chardan NexTech Acquisition 2 Corp.</v>
      </c>
      <c r="C177" s="56" t="str">
        <f>IFERROR(__xludf.DUMMYFUNCTION("""COMPUTED_VALUE"""),"Pre IPO")</f>
        <v>Pre IPO</v>
      </c>
      <c r="D177" s="77" t="str">
        <f>IFERROR(__xludf.DUMMYFUNCTION("""COMPUTED_VALUE"""),"Healthtech, Fintech")</f>
        <v>Healthtech, Fintech</v>
      </c>
      <c r="E177" s="58"/>
      <c r="F177" s="59" t="str">
        <f>IFERROR(__xludf.DUMMYFUNCTION("""COMPUTED_VALUE"""),"Kerry Propper (Co-founder &amp; Former CEO of Chardan), Steven Urbach (Co-founder &amp; CEO of Chardan)")</f>
        <v>Kerry Propper (Co-founder &amp; Former CEO of Chardan), Steven Urbach (Co-founder &amp; CEO of Chardan)</v>
      </c>
      <c r="G177" s="60">
        <f>IFERROR(__xludf.DUMMYFUNCTION("""COMPUTED_VALUE"""),1.0E8)</f>
        <v>100000000</v>
      </c>
      <c r="H177" s="60" t="str">
        <f>IFERROR(__xludf.DUMMYFUNCTION("""COMPUTED_VALUE""")," ")</f>
        <v> </v>
      </c>
      <c r="I177" s="61" t="str">
        <f>IFERROR(__xludf.DUMMYFUNCTION("""COMPUTED_VALUE""")," ")</f>
        <v> </v>
      </c>
      <c r="J177" s="62" t="str">
        <f>IFERROR(__xludf.DUMMYFUNCTION("""COMPUTED_VALUE""")," ")</f>
        <v> </v>
      </c>
      <c r="K177" s="59" t="str">
        <f>IFERROR(__xludf.DUMMYFUNCTION("""COMPUTED_VALUE""")," ")</f>
        <v> </v>
      </c>
      <c r="L177" s="63" t="str">
        <f>IFERROR(__xludf.DUMMYFUNCTION("""COMPUTED_VALUE""")," ")</f>
        <v> </v>
      </c>
      <c r="M177" s="64" t="str">
        <f>IFERROR(__xludf.DUMMYFUNCTION("""COMPUTED_VALUE"""),"U: [1/3 W]; W: [1:1, $11.5]")</f>
        <v>U: [1/3 W]; W: [1:1, $11.5]</v>
      </c>
      <c r="N177" s="65" t="str">
        <f>IFERROR(__xludf.DUMMYFUNCTION("""COMPUTED_VALUE"""),"")</f>
        <v/>
      </c>
      <c r="O177" s="66">
        <f>IFERROR(__xludf.DUMMYFUNCTION("""COMPUTED_VALUE"""),0.0)</f>
        <v>0</v>
      </c>
      <c r="P177" s="67"/>
      <c r="Q177" s="68">
        <f>IFERROR(__xludf.DUMMYFUNCTION("""COMPUTED_VALUE"""),100.0)</f>
        <v>100</v>
      </c>
      <c r="R177" s="69" t="str">
        <f>IFERROR(__xludf.DUMMYFUNCTION("""COMPUTED_VALUE"""),"Chardan")</f>
        <v>Chardan</v>
      </c>
      <c r="S177" s="64">
        <f>IFERROR(__xludf.DUMMYFUNCTION("""COMPUTED_VALUE"""),45086.0)</f>
        <v>45086</v>
      </c>
      <c r="T177" s="70" t="str">
        <f>IFERROR(__xludf.DUMMYFUNCTION("""COMPUTED_VALUE"""),"")</f>
        <v/>
      </c>
      <c r="U177" s="71" t="str">
        <f>IFERROR(__xludf.DUMMYFUNCTION("""COMPUTED_VALUE"""),"https://www.sec.gov/cgi-bin/browse-edgar?CIK=1847986")</f>
        <v>https://www.sec.gov/cgi-bin/browse-edgar?CIK=1847986</v>
      </c>
      <c r="V177" s="72" t="str">
        <f>IFERROR(__xludf.DUMMYFUNCTION("""COMPUTED_VALUE"""),"          Serial Sponsor  ")</f>
        <v>          Serial Sponsor  </v>
      </c>
      <c r="W177" s="73"/>
      <c r="X177" s="74"/>
      <c r="Y177" s="75"/>
      <c r="Z177" s="60"/>
      <c r="AA177" s="60"/>
      <c r="AB177" s="60"/>
      <c r="AC177" s="60"/>
      <c r="AD177" s="73"/>
      <c r="AE177" s="73"/>
      <c r="AF177" s="76"/>
      <c r="AG177" s="60"/>
    </row>
    <row r="178">
      <c r="A178" s="54" t="str">
        <f>IFERROR(__xludf.DUMMYFUNCTION("""COMPUTED_VALUE"""),"COLI")</f>
        <v>COLI</v>
      </c>
      <c r="B178" s="55" t="str">
        <f>IFERROR(__xludf.DUMMYFUNCTION("""COMPUTED_VALUE"""),"Colicity Inc.")</f>
        <v>Colicity Inc.</v>
      </c>
      <c r="C178" s="56" t="str">
        <f>IFERROR(__xludf.DUMMYFUNCTION("""COMPUTED_VALUE"""),"Searching (Pre Unit Split)")</f>
        <v>Searching (Pre Unit Split)</v>
      </c>
      <c r="D178" s="77" t="str">
        <f>IFERROR(__xludf.DUMMYFUNCTION("""COMPUTED_VALUE"""),"TMT (Tech, Media, Telecom)")</f>
        <v>TMT (Tech, Media, Telecom)</v>
      </c>
      <c r="E178" s="58"/>
      <c r="F178" s="59" t="str">
        <f>IFERROR(__xludf.DUMMYFUNCTION("""COMPUTED_VALUE"""),"Craig McCaw (Founder of McCaw Cellular and Clearwire Corp)")</f>
        <v>Craig McCaw (Founder of McCaw Cellular and Clearwire Corp)</v>
      </c>
      <c r="G178" s="60">
        <f>IFERROR(__xludf.DUMMYFUNCTION("""COMPUTED_VALUE"""),3.45E8)</f>
        <v>345000000</v>
      </c>
      <c r="H178" s="60" t="str">
        <f>IFERROR(__xludf.DUMMYFUNCTION("""COMPUTED_VALUE""")," ")</f>
        <v> </v>
      </c>
      <c r="I178" s="61" t="str">
        <f>IFERROR(__xludf.DUMMYFUNCTION("""COMPUTED_VALUE""")," ")</f>
        <v> </v>
      </c>
      <c r="J178" s="62" t="str">
        <f>IFERROR(__xludf.DUMMYFUNCTION("""COMPUTED_VALUE""")," ")</f>
        <v> </v>
      </c>
      <c r="K178" s="59">
        <f>IFERROR(__xludf.DUMMYFUNCTION("""COMPUTED_VALUE"""),10.21)</f>
        <v>10.21</v>
      </c>
      <c r="L178" s="63" t="str">
        <f>IFERROR(__xludf.DUMMYFUNCTION("""COMPUTED_VALUE""")," ")</f>
        <v> </v>
      </c>
      <c r="M178" s="64" t="str">
        <f>IFERROR(__xludf.DUMMYFUNCTION("""COMPUTED_VALUE"""),"U: [1/5 W]; W: [1:1, $11.5]")</f>
        <v>U: [1/5 W]; W: [1:1, $11.5]</v>
      </c>
      <c r="N178" s="65">
        <f>IFERROR(__xludf.DUMMYFUNCTION("""COMPUTED_VALUE"""),44303.0)</f>
        <v>44303</v>
      </c>
      <c r="O178" s="66" t="str">
        <f>IFERROR(__xludf.DUMMYFUNCTION("""COMPUTED_VALUE"""),"")</f>
        <v/>
      </c>
      <c r="P178" s="67">
        <f>IFERROR(__xludf.DUMMYFUNCTION("""COMPUTED_VALUE"""),44251.0)</f>
        <v>44251</v>
      </c>
      <c r="Q178" s="68">
        <f>IFERROR(__xludf.DUMMYFUNCTION("""COMPUTED_VALUE"""),345.0)</f>
        <v>345</v>
      </c>
      <c r="R178" s="69" t="str">
        <f>IFERROR(__xludf.DUMMYFUNCTION("""COMPUTED_VALUE"""),"Credit Suisse, Citigroup, BofA Securities")</f>
        <v>Credit Suisse, Citigroup, BofA Securities</v>
      </c>
      <c r="S178" s="64">
        <f>IFERROR(__xludf.DUMMYFUNCTION("""COMPUTED_VALUE"""),44981.0)</f>
        <v>44981</v>
      </c>
      <c r="T178" s="70">
        <f>IFERROR(__xludf.DUMMYFUNCTION("""COMPUTED_VALUE"""),0.06164383561643835)</f>
        <v>0.06164383562</v>
      </c>
      <c r="U178" s="71" t="str">
        <f>IFERROR(__xludf.DUMMYFUNCTION("""COMPUTED_VALUE"""),"https://www.sec.gov/cgi-bin/browse-edgar?CIK=1829615")</f>
        <v>https://www.sec.gov/cgi-bin/browse-edgar?CIK=1829615</v>
      </c>
      <c r="V178" s="72" t="str">
        <f>IFERROR(__xludf.DUMMYFUNCTION("""COMPUTED_VALUE"""),"         Well-known Sponsor  Top Tier UW ")</f>
        <v>         Well-known Sponsor  Top Tier UW </v>
      </c>
      <c r="W178" s="73"/>
      <c r="X178" s="74"/>
      <c r="Y178" s="75"/>
      <c r="Z178" s="60"/>
      <c r="AA178" s="60"/>
      <c r="AB178" s="60"/>
      <c r="AC178" s="60"/>
      <c r="AD178" s="73"/>
      <c r="AE178" s="73"/>
      <c r="AF178" s="76"/>
      <c r="AG178" s="60"/>
    </row>
    <row r="179">
      <c r="A179" s="54" t="str">
        <f>IFERROR(__xludf.DUMMYFUNCTION("""COMPUTED_VALUE"""),"CONX")</f>
        <v>CONX</v>
      </c>
      <c r="B179" s="55" t="str">
        <f>IFERROR(__xludf.DUMMYFUNCTION("""COMPUTED_VALUE"""),"CONX Corp.")</f>
        <v>CONX Corp.</v>
      </c>
      <c r="C179" s="56" t="str">
        <f>IFERROR(__xludf.DUMMYFUNCTION("""COMPUTED_VALUE"""),"Searching")</f>
        <v>Searching</v>
      </c>
      <c r="D179" s="57" t="str">
        <f>IFERROR(__xludf.DUMMYFUNCTION("""COMPUTED_VALUE"""),"TMT (Tech, Media, Telecom)")</f>
        <v>TMT (Tech, Media, Telecom)</v>
      </c>
      <c r="E179" s="58"/>
      <c r="F179" s="59" t="str">
        <f>IFERROR(__xludf.DUMMYFUNCTION("""COMPUTED_VALUE"""),"Charles Ergen (Co-founder, Fmr CEO and Exec Chairman, DISH)")</f>
        <v>Charles Ergen (Co-founder, Fmr CEO and Exec Chairman, DISH)</v>
      </c>
      <c r="G179" s="60">
        <f>IFERROR(__xludf.DUMMYFUNCTION("""COMPUTED_VALUE"""),7.50005343E8)</f>
        <v>750005343</v>
      </c>
      <c r="H179" s="60">
        <f>IFERROR(__xludf.DUMMYFUNCTION("""COMPUTED_VALUE"""),7.53951E8)</f>
        <v>753951000</v>
      </c>
      <c r="I179" s="61">
        <f>IFERROR(__xludf.DUMMYFUNCTION("""COMPUTED_VALUE"""),10.05)</f>
        <v>10.05</v>
      </c>
      <c r="J179" s="62">
        <f>IFERROR(__xludf.DUMMYFUNCTION("""COMPUTED_VALUE"""),-9.9E-4)</f>
        <v>-0.00099</v>
      </c>
      <c r="K179" s="59">
        <f>IFERROR(__xludf.DUMMYFUNCTION("""COMPUTED_VALUE"""),10.35)</f>
        <v>10.35</v>
      </c>
      <c r="L179" s="63">
        <f>IFERROR(__xludf.DUMMYFUNCTION("""COMPUTED_VALUE"""),1.3)</f>
        <v>1.3</v>
      </c>
      <c r="M179" s="64" t="str">
        <f>IFERROR(__xludf.DUMMYFUNCTION("""COMPUTED_VALUE"""),"U: [1/4 W]; W: [1:1, $11.5]")</f>
        <v>U: [1/4 W]; W: [1:1, $11.5]</v>
      </c>
      <c r="N179" s="65" t="str">
        <f>IFERROR(__xludf.DUMMYFUNCTION("""COMPUTED_VALUE"""),"")</f>
        <v/>
      </c>
      <c r="O179" s="66">
        <f>IFERROR(__xludf.DUMMYFUNCTION("""COMPUTED_VALUE"""),0.0)</f>
        <v>0</v>
      </c>
      <c r="P179" s="67">
        <f>IFERROR(__xludf.DUMMYFUNCTION("""COMPUTED_VALUE"""),44133.0)</f>
        <v>44133</v>
      </c>
      <c r="Q179" s="68">
        <f>IFERROR(__xludf.DUMMYFUNCTION("""COMPUTED_VALUE"""),750.0)</f>
        <v>750</v>
      </c>
      <c r="R179" s="69" t="str">
        <f>IFERROR(__xludf.DUMMYFUNCTION("""COMPUTED_VALUE"""),"Deutsche Bank Securities")</f>
        <v>Deutsche Bank Securities</v>
      </c>
      <c r="S179" s="64">
        <f>IFERROR(__xludf.DUMMYFUNCTION("""COMPUTED_VALUE"""),44863.0)</f>
        <v>44863</v>
      </c>
      <c r="T179" s="70">
        <f>IFERROR(__xludf.DUMMYFUNCTION("""COMPUTED_VALUE"""),0.2232876712328767)</f>
        <v>0.2232876712</v>
      </c>
      <c r="U179" s="71" t="str">
        <f>IFERROR(__xludf.DUMMYFUNCTION("""COMPUTED_VALUE"""),"https://www.sec.gov/cgi-bin/browse-edgar?CIK=1823000")</f>
        <v>https://www.sec.gov/cgi-bin/browse-edgar?CIK=1823000</v>
      </c>
      <c r="V179" s="72" t="str">
        <f>IFERROR(__xludf.DUMMYFUNCTION("""COMPUTED_VALUE"""),"   $500M+ Trust Optionable    Well-known Sponsor   ")</f>
        <v>   $500M+ Trust Optionable    Well-known Sponsor   </v>
      </c>
      <c r="W179" s="73"/>
      <c r="X179" s="74"/>
      <c r="Y179" s="75"/>
      <c r="Z179" s="60"/>
      <c r="AA179" s="60"/>
      <c r="AB179" s="60"/>
      <c r="AC179" s="60"/>
      <c r="AD179" s="73"/>
      <c r="AE179" s="73"/>
      <c r="AF179" s="76"/>
      <c r="AG179" s="60" t="str">
        <f>IFERROR(__xludf.DUMMYFUNCTION("""COMPUTED_VALUE"""),"")</f>
        <v/>
      </c>
    </row>
    <row r="180">
      <c r="A180" s="54" t="str">
        <f>IFERROR(__xludf.DUMMYFUNCTION("""COMPUTED_VALUE"""),"COOL")</f>
        <v>COOL</v>
      </c>
      <c r="B180" s="55" t="str">
        <f>IFERROR(__xludf.DUMMYFUNCTION("""COMPUTED_VALUE"""),"Corner Growth Acquisition Corp.")</f>
        <v>Corner Growth Acquisition Corp.</v>
      </c>
      <c r="C180" s="56" t="str">
        <f>IFERROR(__xludf.DUMMYFUNCTION("""COMPUTED_VALUE"""),"Searching")</f>
        <v>Searching</v>
      </c>
      <c r="D180" s="57" t="str">
        <f>IFERROR(__xludf.DUMMYFUNCTION("""COMPUTED_VALUE"""),"Tech (US &amp; other developed countries)")</f>
        <v>Tech (US &amp; other developed countries)</v>
      </c>
      <c r="E180" s="58"/>
      <c r="F180" s="59" t="str">
        <f>IFERROR(__xludf.DUMMYFUNCTION("""COMPUTED_VALUE"""),"John Cadeddu (GP/Managing Director, Corner Ventures/DAG Ventures), Alexandre Balkanski (CEO, Picarro; Fmr GP, Benchmark Capital), Jason Park (CFO, DraftKings)")</f>
        <v>John Cadeddu (GP/Managing Director, Corner Ventures/DAG Ventures), Alexandre Balkanski (CEO, Picarro; Fmr GP, Benchmark Capital), Jason Park (CFO, DraftKings)</v>
      </c>
      <c r="G180" s="60">
        <f>IFERROR(__xludf.DUMMYFUNCTION("""COMPUTED_VALUE"""),4.0E8)</f>
        <v>400000000</v>
      </c>
      <c r="H180" s="60">
        <f>IFERROR(__xludf.DUMMYFUNCTION("""COMPUTED_VALUE"""),3.972E8)</f>
        <v>397200000</v>
      </c>
      <c r="I180" s="61">
        <f>IFERROR(__xludf.DUMMYFUNCTION("""COMPUTED_VALUE"""),9.93)</f>
        <v>9.93</v>
      </c>
      <c r="J180" s="62">
        <f>IFERROR(__xludf.DUMMYFUNCTION("""COMPUTED_VALUE"""),0.00202)</f>
        <v>0.00202</v>
      </c>
      <c r="K180" s="59">
        <f>IFERROR(__xludf.DUMMYFUNCTION("""COMPUTED_VALUE"""),10.15)</f>
        <v>10.15</v>
      </c>
      <c r="L180" s="63">
        <f>IFERROR(__xludf.DUMMYFUNCTION("""COMPUTED_VALUE"""),0.99)</f>
        <v>0.99</v>
      </c>
      <c r="M180" s="64" t="str">
        <f>IFERROR(__xludf.DUMMYFUNCTION("""COMPUTED_VALUE"""),"U: [1/3 W]; W: [1:1, $11.5]")</f>
        <v>U: [1/3 W]; W: [1:1, $11.5]</v>
      </c>
      <c r="N180" s="65" t="str">
        <f>IFERROR(__xludf.DUMMYFUNCTION("""COMPUTED_VALUE"""),"")</f>
        <v/>
      </c>
      <c r="O180" s="66">
        <f>IFERROR(__xludf.DUMMYFUNCTION("""COMPUTED_VALUE"""),0.0)</f>
        <v>0</v>
      </c>
      <c r="P180" s="67">
        <f>IFERROR(__xludf.DUMMYFUNCTION("""COMPUTED_VALUE"""),44181.0)</f>
        <v>44181</v>
      </c>
      <c r="Q180" s="68">
        <f>IFERROR(__xludf.DUMMYFUNCTION("""COMPUTED_VALUE"""),400.0)</f>
        <v>400</v>
      </c>
      <c r="R180" s="85" t="str">
        <f>IFERROR(__xludf.DUMMYFUNCTION("""COMPUTED_VALUE"""),"Cantor")</f>
        <v>Cantor</v>
      </c>
      <c r="S180" s="64">
        <f>IFERROR(__xludf.DUMMYFUNCTION("""COMPUTED_VALUE"""),44911.0)</f>
        <v>44911</v>
      </c>
      <c r="T180" s="70">
        <f>IFERROR(__xludf.DUMMYFUNCTION("""COMPUTED_VALUE"""),0.15753424657534246)</f>
        <v>0.1575342466</v>
      </c>
      <c r="U180" s="71" t="str">
        <f>IFERROR(__xludf.DUMMYFUNCTION("""COMPUTED_VALUE"""),"https://www.sec.gov/cgi-bin/browse-edgar?CIK=1829953")</f>
        <v>https://www.sec.gov/cgi-bin/browse-edgar?CIK=1829953</v>
      </c>
      <c r="V180" s="72" t="str">
        <f>IFERROR(__xludf.DUMMYFUNCTION("""COMPUTED_VALUE"""),"Venture Capital Trading Below $10 (Common)           ")</f>
        <v>Venture Capital Trading Below $10 (Common)           </v>
      </c>
      <c r="W180" s="73"/>
      <c r="X180" s="74"/>
      <c r="Y180" s="75"/>
      <c r="Z180" s="60"/>
      <c r="AA180" s="60"/>
      <c r="AB180" s="60"/>
      <c r="AC180" s="60"/>
      <c r="AD180" s="73"/>
      <c r="AE180" s="73"/>
      <c r="AF180" s="76"/>
      <c r="AG180" s="60" t="str">
        <f>IFERROR(__xludf.DUMMYFUNCTION("""COMPUTED_VALUE"""),"")</f>
        <v/>
      </c>
    </row>
    <row r="181">
      <c r="A181" s="54" t="str">
        <f>IFERROR(__xludf.DUMMYFUNCTION("""COMPUTED_VALUE"""),"CORS")</f>
        <v>CORS</v>
      </c>
      <c r="B181" s="55" t="str">
        <f>IFERROR(__xludf.DUMMYFUNCTION("""COMPUTED_VALUE"""),"Corsair Partnering Corp")</f>
        <v>Corsair Partnering Corp</v>
      </c>
      <c r="C181" s="56" t="str">
        <f>IFERROR(__xludf.DUMMYFUNCTION("""COMPUTED_VALUE"""),"Pre IPO")</f>
        <v>Pre IPO</v>
      </c>
      <c r="D181" s="57"/>
      <c r="E181" s="58"/>
      <c r="F181" s="59"/>
      <c r="G181" s="60">
        <f>IFERROR(__xludf.DUMMYFUNCTION("""COMPUTED_VALUE"""),3.5E8)</f>
        <v>350000000</v>
      </c>
      <c r="H181" s="60" t="str">
        <f>IFERROR(__xludf.DUMMYFUNCTION("""COMPUTED_VALUE""")," ")</f>
        <v> </v>
      </c>
      <c r="I181" s="61" t="str">
        <f>IFERROR(__xludf.DUMMYFUNCTION("""COMPUTED_VALUE""")," ")</f>
        <v> </v>
      </c>
      <c r="J181" s="62" t="str">
        <f>IFERROR(__xludf.DUMMYFUNCTION("""COMPUTED_VALUE""")," ")</f>
        <v> </v>
      </c>
      <c r="K181" s="59" t="str">
        <f>IFERROR(__xludf.DUMMYFUNCTION("""COMPUTED_VALUE""")," ")</f>
        <v> </v>
      </c>
      <c r="L181" s="63" t="str">
        <f>IFERROR(__xludf.DUMMYFUNCTION("""COMPUTED_VALUE""")," ")</f>
        <v> </v>
      </c>
      <c r="M181" s="64" t="str">
        <f>IFERROR(__xludf.DUMMYFUNCTION("""COMPUTED_VALUE"""),"U: [1/4 W]; W: [1:1, $11.5]")</f>
        <v>U: [1/4 W]; W: [1:1, $11.5]</v>
      </c>
      <c r="N181" s="65" t="str">
        <f>IFERROR(__xludf.DUMMYFUNCTION("""COMPUTED_VALUE"""),"")</f>
        <v/>
      </c>
      <c r="O181" s="66">
        <f>IFERROR(__xludf.DUMMYFUNCTION("""COMPUTED_VALUE"""),0.0)</f>
        <v>0</v>
      </c>
      <c r="P181" s="67"/>
      <c r="Q181" s="68">
        <f>IFERROR(__xludf.DUMMYFUNCTION("""COMPUTED_VALUE"""),350.0)</f>
        <v>350</v>
      </c>
      <c r="R181" s="69" t="str">
        <f>IFERROR(__xludf.DUMMYFUNCTION("""COMPUTED_VALUE"""),"Evercore ISI")</f>
        <v>Evercore ISI</v>
      </c>
      <c r="S181" s="64">
        <f>IFERROR(__xludf.DUMMYFUNCTION("""COMPUTED_VALUE"""),45086.0)</f>
        <v>45086</v>
      </c>
      <c r="T181" s="70" t="str">
        <f>IFERROR(__xludf.DUMMYFUNCTION("""COMPUTED_VALUE"""),"")</f>
        <v/>
      </c>
      <c r="U181" s="71" t="str">
        <f>IFERROR(__xludf.DUMMYFUNCTION("""COMPUTED_VALUE"""),"https://www.sec.gov/cgi-bin/browse-edgar?CIK=1842659")</f>
        <v>https://www.sec.gov/cgi-bin/browse-edgar?CIK=1842659</v>
      </c>
      <c r="V181" s="72" t="str">
        <f>IFERROR(__xludf.DUMMYFUNCTION("""COMPUTED_VALUE"""),"            ")</f>
        <v>            </v>
      </c>
      <c r="W181" s="73"/>
      <c r="X181" s="74"/>
      <c r="Y181" s="75"/>
      <c r="Z181" s="60"/>
      <c r="AA181" s="60"/>
      <c r="AB181" s="60"/>
      <c r="AC181" s="60"/>
      <c r="AD181" s="73"/>
      <c r="AE181" s="73"/>
      <c r="AF181" s="76"/>
      <c r="AG181" s="60"/>
    </row>
    <row r="182">
      <c r="A182" s="54" t="str">
        <f>IFERROR(__xludf.DUMMYFUNCTION("""COMPUTED_VALUE"""),"COVA")</f>
        <v>COVA</v>
      </c>
      <c r="B182" s="55" t="str">
        <f>IFERROR(__xludf.DUMMYFUNCTION("""COMPUTED_VALUE"""),"Crescent Cove Acquisition Corp.
")</f>
        <v>Crescent Cove Acquisition Corp.
</v>
      </c>
      <c r="C182" s="56" t="str">
        <f>IFERROR(__xludf.DUMMYFUNCTION("""COMPUTED_VALUE"""),"Searching")</f>
        <v>Searching</v>
      </c>
      <c r="D182" s="57" t="str">
        <f>IFERROR(__xludf.DUMMYFUNCTION("""COMPUTED_VALUE"""),"Tech, Southeast Asia or US")</f>
        <v>Tech, Southeast Asia or US</v>
      </c>
      <c r="E182" s="58"/>
      <c r="F182" s="59" t="str">
        <f>IFERROR(__xludf.DUMMYFUNCTION("""COMPUTED_VALUE"""),"Advisor: Austin Russell (Founder/CEO, Luminar Technologies)")</f>
        <v>Advisor: Austin Russell (Founder/CEO, Luminar Technologies)</v>
      </c>
      <c r="G182" s="60">
        <f>IFERROR(__xludf.DUMMYFUNCTION("""COMPUTED_VALUE"""),3.0E8)</f>
        <v>300000000</v>
      </c>
      <c r="H182" s="60">
        <f>IFERROR(__xludf.DUMMYFUNCTION("""COMPUTED_VALUE"""),2.43E8)</f>
        <v>243000000</v>
      </c>
      <c r="I182" s="61">
        <f>IFERROR(__xludf.DUMMYFUNCTION("""COMPUTED_VALUE"""),9.72)</f>
        <v>9.72</v>
      </c>
      <c r="J182" s="62">
        <f>IFERROR(__xludf.DUMMYFUNCTION("""COMPUTED_VALUE"""),-0.00308)</f>
        <v>-0.00308</v>
      </c>
      <c r="K182" s="59">
        <f>IFERROR(__xludf.DUMMYFUNCTION("""COMPUTED_VALUE"""),10.025)</f>
        <v>10.025</v>
      </c>
      <c r="L182" s="63">
        <f>IFERROR(__xludf.DUMMYFUNCTION("""COMPUTED_VALUE"""),0.69)</f>
        <v>0.69</v>
      </c>
      <c r="M182" s="64" t="str">
        <f>IFERROR(__xludf.DUMMYFUNCTION("""COMPUTED_VALUE"""),"U: [1/2 W]; W: [1:1, $11.5]")</f>
        <v>U: [1/2 W]; W: [1:1, $11.5]</v>
      </c>
      <c r="N182" s="65">
        <f>IFERROR(__xludf.DUMMYFUNCTION("""COMPUTED_VALUE"""),44285.0)</f>
        <v>44285</v>
      </c>
      <c r="O182" s="66">
        <f>IFERROR(__xludf.DUMMYFUNCTION("""COMPUTED_VALUE"""),0.0)</f>
        <v>0</v>
      </c>
      <c r="P182" s="67">
        <f>IFERROR(__xludf.DUMMYFUNCTION("""COMPUTED_VALUE"""),44231.0)</f>
        <v>44231</v>
      </c>
      <c r="Q182" s="68">
        <f>IFERROR(__xludf.DUMMYFUNCTION("""COMPUTED_VALUE"""),300.0)</f>
        <v>300</v>
      </c>
      <c r="R182" s="69" t="str">
        <f>IFERROR(__xludf.DUMMYFUNCTION("""COMPUTED_VALUE"""),"Cantor")</f>
        <v>Cantor</v>
      </c>
      <c r="S182" s="64">
        <f>IFERROR(__xludf.DUMMYFUNCTION("""COMPUTED_VALUE"""),44961.0)</f>
        <v>44961</v>
      </c>
      <c r="T182" s="70">
        <f>IFERROR(__xludf.DUMMYFUNCTION("""COMPUTED_VALUE"""),0.08904109589041095)</f>
        <v>0.08904109589</v>
      </c>
      <c r="U182" s="71" t="str">
        <f>IFERROR(__xludf.DUMMYFUNCTION("""COMPUTED_VALUE"""),"https://www.sec.gov/cgi-bin/browse-edgar?CIK=1837160")</f>
        <v>https://www.sec.gov/cgi-bin/browse-edgar?CIK=1837160</v>
      </c>
      <c r="V182" s="72" t="str">
        <f>IFERROR(__xludf.DUMMYFUNCTION("""COMPUTED_VALUE""")," Trading Below $10 (Common)           ")</f>
        <v> Trading Below $10 (Common)           </v>
      </c>
      <c r="W182" s="73"/>
      <c r="X182" s="74"/>
      <c r="Y182" s="75"/>
      <c r="Z182" s="60"/>
      <c r="AA182" s="60"/>
      <c r="AB182" s="60"/>
      <c r="AC182" s="60"/>
      <c r="AD182" s="73"/>
      <c r="AE182" s="73"/>
      <c r="AF182" s="76"/>
      <c r="AG182" s="60" t="str">
        <f>IFERROR(__xludf.DUMMYFUNCTION("""COMPUTED_VALUE"""),"")</f>
        <v/>
      </c>
    </row>
    <row r="183">
      <c r="A183" s="54" t="str">
        <f>IFERROR(__xludf.DUMMYFUNCTION("""COMPUTED_VALUE"""),"CPAR")</f>
        <v>CPAR</v>
      </c>
      <c r="B183" s="55" t="str">
        <f>IFERROR(__xludf.DUMMYFUNCTION("""COMPUTED_VALUE"""),"Catalyst Partners Acquisition Corp.")</f>
        <v>Catalyst Partners Acquisition Corp.</v>
      </c>
      <c r="C183" s="56" t="str">
        <f>IFERROR(__xludf.DUMMYFUNCTION("""COMPUTED_VALUE"""),"Pre IPO")</f>
        <v>Pre IPO</v>
      </c>
      <c r="D183" s="77" t="str">
        <f>IFERROR(__xludf.DUMMYFUNCTION("""COMPUTED_VALUE"""),"Enterprise Software")</f>
        <v>Enterprise Software</v>
      </c>
      <c r="E183" s="58"/>
      <c r="F183" s="59" t="str">
        <f>IFERROR(__xludf.DUMMYFUNCTION("""COMPUTED_VALUE"""),"General Catalyst, Dr. James Cash  (Senior Associate Dean, Emeritus, of the Harvard Business School, Director of Chubb, Advisor to General Catalyst Partners, Former Director of Walmart, GE, Microsoft, and Sprint), Paul Sagan  (Former CEO of Akamai Technolo"&amp;"gies and Director of Moderna and VMware), Robin Washington  (Former CFO of Gilead Sciences, Director of Alphabet, Honeywell International, Salesforce.com, and Veritiv), Ken Chenault (Chairman and Managing Director of General Catalyst, Former Chairman and "&amp;"CEO of American Express, Director of Airbnb and Berkshire Hathaway, Former Director of IBM and Procter &amp; Gamble), Steven Reinemund  (Former Executive Chairman and CEO of PepsiCo, Director of Vertiv, Walmart, Chick-fil-A, and Former Director of Johnson &amp; J"&amp;"ohnson, American Express, Exxon Mobil, and Marriott International)")</f>
        <v>General Catalyst, Dr. James Cash  (Senior Associate Dean, Emeritus, of the Harvard Business School, Director of Chubb, Advisor to General Catalyst Partners, Former Director of Walmart, GE, Microsoft, and Sprint), Paul Sagan  (Former CEO of Akamai Technologies and Director of Moderna and VMware), Robin Washington  (Former CFO of Gilead Sciences, Director of Alphabet, Honeywell International, Salesforce.com, and Veritiv), Ken Chenault (Chairman and Managing Director of General Catalyst, Former Chairman and CEO of American Express, Director of Airbnb and Berkshire Hathaway, Former Director of IBM and Procter &amp; Gamble), Steven Reinemund  (Former Executive Chairman and CEO of PepsiCo, Director of Vertiv, Walmart, Chick-fil-A, and Former Director of Johnson &amp; Johnson, American Express, Exxon Mobil, and Marriott International)</v>
      </c>
      <c r="G183" s="60">
        <f>IFERROR(__xludf.DUMMYFUNCTION("""COMPUTED_VALUE"""),4.0E8)</f>
        <v>400000000</v>
      </c>
      <c r="H183" s="60" t="str">
        <f>IFERROR(__xludf.DUMMYFUNCTION("""COMPUTED_VALUE""")," ")</f>
        <v> </v>
      </c>
      <c r="I183" s="61" t="str">
        <f>IFERROR(__xludf.DUMMYFUNCTION("""COMPUTED_VALUE""")," ")</f>
        <v> </v>
      </c>
      <c r="J183" s="62" t="str">
        <f>IFERROR(__xludf.DUMMYFUNCTION("""COMPUTED_VALUE""")," ")</f>
        <v> </v>
      </c>
      <c r="K183" s="59" t="str">
        <f>IFERROR(__xludf.DUMMYFUNCTION("""COMPUTED_VALUE""")," ")</f>
        <v> </v>
      </c>
      <c r="L183" s="63" t="str">
        <f>IFERROR(__xludf.DUMMYFUNCTION("""COMPUTED_VALUE""")," ")</f>
        <v> </v>
      </c>
      <c r="M183" s="64" t="str">
        <f>IFERROR(__xludf.DUMMYFUNCTION("""COMPUTED_VALUE"""),"U: [1/5 W]; W: [1:1, $11.5]")</f>
        <v>U: [1/5 W]; W: [1:1, $11.5]</v>
      </c>
      <c r="N183" s="65" t="str">
        <f>IFERROR(__xludf.DUMMYFUNCTION("""COMPUTED_VALUE"""),"")</f>
        <v/>
      </c>
      <c r="O183" s="66">
        <f>IFERROR(__xludf.DUMMYFUNCTION("""COMPUTED_VALUE"""),0.0)</f>
        <v>0</v>
      </c>
      <c r="P183" s="67"/>
      <c r="Q183" s="68">
        <f>IFERROR(__xludf.DUMMYFUNCTION("""COMPUTED_VALUE"""),400.0)</f>
        <v>400</v>
      </c>
      <c r="R183" s="85" t="str">
        <f>IFERROR(__xludf.DUMMYFUNCTION("""COMPUTED_VALUE"""),"Goldman Sachs &amp; Co. LLC")</f>
        <v>Goldman Sachs &amp; Co. LLC</v>
      </c>
      <c r="S183" s="64">
        <f>IFERROR(__xludf.DUMMYFUNCTION("""COMPUTED_VALUE"""),45086.0)</f>
        <v>45086</v>
      </c>
      <c r="T183" s="70" t="str">
        <f>IFERROR(__xludf.DUMMYFUNCTION("""COMPUTED_VALUE"""),"")</f>
        <v/>
      </c>
      <c r="U183" s="71" t="str">
        <f>IFERROR(__xludf.DUMMYFUNCTION("""COMPUTED_VALUE"""),"https://www.sec.gov/cgi-bin/browse-edgar?CIK=1848410")</f>
        <v>https://www.sec.gov/cgi-bin/browse-edgar?CIK=1848410</v>
      </c>
      <c r="V183" s="72" t="str">
        <f>IFERROR(__xludf.DUMMYFUNCTION("""COMPUTED_VALUE"""),"Venture Capital         Well-known Sponsor  Top Tier UW ")</f>
        <v>Venture Capital         Well-known Sponsor  Top Tier UW </v>
      </c>
      <c r="W183" s="73"/>
      <c r="X183" s="74"/>
      <c r="Y183" s="75"/>
      <c r="Z183" s="60"/>
      <c r="AA183" s="60"/>
      <c r="AB183" s="60"/>
      <c r="AC183" s="60"/>
      <c r="AD183" s="73"/>
      <c r="AE183" s="73"/>
      <c r="AF183" s="76"/>
      <c r="AG183" s="60"/>
    </row>
    <row r="184">
      <c r="A184" s="54" t="str">
        <f>IFERROR(__xludf.DUMMYFUNCTION("""COMPUTED_VALUE"""),"CPSR")</f>
        <v>CPSR</v>
      </c>
      <c r="B184" s="55" t="str">
        <f>IFERROR(__xludf.DUMMYFUNCTION("""COMPUTED_VALUE"""),"Capstar Special Purpose Acquisition")</f>
        <v>Capstar Special Purpose Acquisition</v>
      </c>
      <c r="C184" s="56" t="str">
        <f>IFERROR(__xludf.DUMMYFUNCTION("""COMPUTED_VALUE"""),"Searching")</f>
        <v>Searching</v>
      </c>
      <c r="D184" s="57" t="str">
        <f>IFERROR(__xludf.DUMMYFUNCTION("""COMPUTED_VALUE"""),"Healthcare, Tech, Media, Telecom")</f>
        <v>Healthcare, Tech, Media, Telecom</v>
      </c>
      <c r="E184" s="58"/>
      <c r="F184" s="59"/>
      <c r="G184" s="60">
        <f>IFERROR(__xludf.DUMMYFUNCTION("""COMPUTED_VALUE"""),2.76137639E8)</f>
        <v>276137639</v>
      </c>
      <c r="H184" s="60">
        <f>IFERROR(__xludf.DUMMYFUNCTION("""COMPUTED_VALUE"""),2.75448E8)</f>
        <v>275448000</v>
      </c>
      <c r="I184" s="61">
        <f>IFERROR(__xludf.DUMMYFUNCTION("""COMPUTED_VALUE"""),9.98)</f>
        <v>9.98</v>
      </c>
      <c r="J184" s="62">
        <f>IFERROR(__xludf.DUMMYFUNCTION("""COMPUTED_VALUE"""),0.00504)</f>
        <v>0.00504</v>
      </c>
      <c r="K184" s="59">
        <f>IFERROR(__xludf.DUMMYFUNCTION("""COMPUTED_VALUE"""),10.41)</f>
        <v>10.41</v>
      </c>
      <c r="L184" s="63">
        <f>IFERROR(__xludf.DUMMYFUNCTION("""COMPUTED_VALUE"""),0.9599)</f>
        <v>0.9599</v>
      </c>
      <c r="M184" s="64" t="str">
        <f>IFERROR(__xludf.DUMMYFUNCTION("""COMPUTED_VALUE"""),"U: [1/2 W]; W: [1:1, $11.5]")</f>
        <v>U: [1/2 W]; W: [1:1, $11.5]</v>
      </c>
      <c r="N184" s="65" t="str">
        <f>IFERROR(__xludf.DUMMYFUNCTION("""COMPUTED_VALUE"""),"")</f>
        <v/>
      </c>
      <c r="O184" s="66">
        <f>IFERROR(__xludf.DUMMYFUNCTION("""COMPUTED_VALUE"""),0.0)</f>
        <v>0</v>
      </c>
      <c r="P184" s="67">
        <f>IFERROR(__xludf.DUMMYFUNCTION("""COMPUTED_VALUE"""),44014.0)</f>
        <v>44014</v>
      </c>
      <c r="Q184" s="68">
        <f>IFERROR(__xludf.DUMMYFUNCTION("""COMPUTED_VALUE"""),276.0)</f>
        <v>276</v>
      </c>
      <c r="R184" s="85" t="str">
        <f>IFERROR(__xludf.DUMMYFUNCTION("""COMPUTED_VALUE"""),"Citigroup, UBS")</f>
        <v>Citigroup, UBS</v>
      </c>
      <c r="S184" s="64">
        <f>IFERROR(__xludf.DUMMYFUNCTION("""COMPUTED_VALUE"""),44744.0)</f>
        <v>44744</v>
      </c>
      <c r="T184" s="70">
        <f>IFERROR(__xludf.DUMMYFUNCTION("""COMPUTED_VALUE"""),0.3863013698630137)</f>
        <v>0.3863013699</v>
      </c>
      <c r="U184" s="71" t="str">
        <f>IFERROR(__xludf.DUMMYFUNCTION("""COMPUTED_VALUE"""),"https://www.sec.gov/cgi-bin/browse-edgar?CIK=1805087")</f>
        <v>https://www.sec.gov/cgi-bin/browse-edgar?CIK=1805087</v>
      </c>
      <c r="V184" s="72" t="str">
        <f>IFERROR(__xludf.DUMMYFUNCTION("""COMPUTED_VALUE""")," Trading Below $10 (Common)          Top Tier UW ")</f>
        <v> Trading Below $10 (Common)          Top Tier UW </v>
      </c>
      <c r="W184" s="73"/>
      <c r="X184" s="74"/>
      <c r="Y184" s="75"/>
      <c r="Z184" s="60"/>
      <c r="AA184" s="60"/>
      <c r="AB184" s="60"/>
      <c r="AC184" s="60"/>
      <c r="AD184" s="73"/>
      <c r="AE184" s="73"/>
      <c r="AF184" s="76"/>
      <c r="AG184" s="60" t="str">
        <f>IFERROR(__xludf.DUMMYFUNCTION("""COMPUTED_VALUE"""),"")</f>
        <v/>
      </c>
    </row>
    <row r="185">
      <c r="A185" s="54" t="str">
        <f>IFERROR(__xludf.DUMMYFUNCTION("""COMPUTED_VALUE"""),"CPTK")</f>
        <v>CPTK</v>
      </c>
      <c r="B185" s="55" t="str">
        <f>IFERROR(__xludf.DUMMYFUNCTION("""COMPUTED_VALUE"""),"Crown PropTech Acquisitions")</f>
        <v>Crown PropTech Acquisitions</v>
      </c>
      <c r="C185" s="56" t="str">
        <f>IFERROR(__xludf.DUMMYFUNCTION("""COMPUTED_VALUE"""),"Searching")</f>
        <v>Searching</v>
      </c>
      <c r="D185" s="57" t="str">
        <f>IFERROR(__xludf.DUMMYFUNCTION("""COMPUTED_VALUE"""),"Real Estate Tech")</f>
        <v>Real Estate Tech</v>
      </c>
      <c r="E185" s="58"/>
      <c r="F185" s="59" t="str">
        <f>IFERROR(__xludf.DUMMYFUNCTION("""COMPUTED_VALUE"""),"Stephen Siegel (Chairman Global Brokerage, CBRE)")</f>
        <v>Stephen Siegel (Chairman Global Brokerage, CBRE)</v>
      </c>
      <c r="G185" s="60">
        <f>IFERROR(__xludf.DUMMYFUNCTION("""COMPUTED_VALUE"""),2.4E8)</f>
        <v>240000000</v>
      </c>
      <c r="H185" s="60"/>
      <c r="I185" s="61">
        <f>IFERROR(__xludf.DUMMYFUNCTION("""COMPUTED_VALUE"""),9.72)</f>
        <v>9.72</v>
      </c>
      <c r="J185" s="62">
        <f>IFERROR(__xludf.DUMMYFUNCTION("""COMPUTED_VALUE"""),-0.0122)</f>
        <v>-0.0122</v>
      </c>
      <c r="K185" s="59">
        <f>IFERROR(__xludf.DUMMYFUNCTION("""COMPUTED_VALUE"""),10.0)</f>
        <v>10</v>
      </c>
      <c r="L185" s="63">
        <f>IFERROR(__xludf.DUMMYFUNCTION("""COMPUTED_VALUE"""),0.79)</f>
        <v>0.79</v>
      </c>
      <c r="M185" s="64" t="str">
        <f>IFERROR(__xludf.DUMMYFUNCTION("""COMPUTED_VALUE"""),"U: [1/3 W]; W: [1:1, $11.5]")</f>
        <v>U: [1/3 W]; W: [1:1, $11.5]</v>
      </c>
      <c r="N185" s="65" t="str">
        <f>IFERROR(__xludf.DUMMYFUNCTION("""COMPUTED_VALUE"""),"")</f>
        <v/>
      </c>
      <c r="O185" s="66">
        <f>IFERROR(__xludf.DUMMYFUNCTION("""COMPUTED_VALUE"""),0.0)</f>
        <v>0</v>
      </c>
      <c r="P185" s="67">
        <f>IFERROR(__xludf.DUMMYFUNCTION("""COMPUTED_VALUE"""),44235.0)</f>
        <v>44235</v>
      </c>
      <c r="Q185" s="68">
        <f>IFERROR(__xludf.DUMMYFUNCTION("""COMPUTED_VALUE"""),240.0)</f>
        <v>240</v>
      </c>
      <c r="R185" s="85" t="str">
        <f>IFERROR(__xludf.DUMMYFUNCTION("""COMPUTED_VALUE"""),"RBC Capital Markets")</f>
        <v>RBC Capital Markets</v>
      </c>
      <c r="S185" s="64">
        <f>IFERROR(__xludf.DUMMYFUNCTION("""COMPUTED_VALUE"""),44965.0)</f>
        <v>44965</v>
      </c>
      <c r="T185" s="70">
        <f>IFERROR(__xludf.DUMMYFUNCTION("""COMPUTED_VALUE"""),0.08356164383561644)</f>
        <v>0.08356164384</v>
      </c>
      <c r="U185" s="71" t="str">
        <f>IFERROR(__xludf.DUMMYFUNCTION("""COMPUTED_VALUE"""),"https://www.sec.gov/cgi-bin/browse-edgar?CIK=1827899")</f>
        <v>https://www.sec.gov/cgi-bin/browse-edgar?CIK=1827899</v>
      </c>
      <c r="V185" s="72" t="str">
        <f>IFERROR(__xludf.DUMMYFUNCTION("""COMPUTED_VALUE""")," Trading Below $10 (Common)           ")</f>
        <v> Trading Below $10 (Common)           </v>
      </c>
      <c r="W185" s="73"/>
      <c r="X185" s="74"/>
      <c r="Y185" s="75"/>
      <c r="Z185" s="60"/>
      <c r="AA185" s="60"/>
      <c r="AB185" s="60"/>
      <c r="AC185" s="60"/>
      <c r="AD185" s="73"/>
      <c r="AE185" s="73"/>
      <c r="AF185" s="76"/>
      <c r="AG185" s="60" t="str">
        <f>IFERROR(__xludf.DUMMYFUNCTION("""COMPUTED_VALUE"""),"")</f>
        <v/>
      </c>
    </row>
    <row r="186">
      <c r="A186" s="54" t="str">
        <f>IFERROR(__xludf.DUMMYFUNCTION("""COMPUTED_VALUE"""),"CPUH")</f>
        <v>CPUH</v>
      </c>
      <c r="B186" s="55" t="str">
        <f>IFERROR(__xludf.DUMMYFUNCTION("""COMPUTED_VALUE"""),"Compute Health Acquisition Corp.")</f>
        <v>Compute Health Acquisition Corp.</v>
      </c>
      <c r="C186" s="56" t="str">
        <f>IFERROR(__xludf.DUMMYFUNCTION("""COMPUTED_VALUE"""),"Searching")</f>
        <v>Searching</v>
      </c>
      <c r="D186" s="57" t="str">
        <f>IFERROR(__xludf.DUMMYFUNCTION("""COMPUTED_VALUE"""),"Healthcare, Healthcare Tech (Computational / AI)")</f>
        <v>Healthcare, Healthcare Tech (Computational / AI)</v>
      </c>
      <c r="E186" s="58"/>
      <c r="F186" s="59" t="str">
        <f>IFERROR(__xludf.DUMMYFUNCTION("""COMPUTED_VALUE"""),"Omar Ishrak (Chairman, Intel; Fmr CEO, Medtronic; Fmr CEO, GE Healthcare), Joshua Fink (MP, Ophir Holdings; Sr Advisor, SoftBank Investment Advisors; Advisor, 8VC)")</f>
        <v>Omar Ishrak (Chairman, Intel; Fmr CEO, Medtronic; Fmr CEO, GE Healthcare), Joshua Fink (MP, Ophir Holdings; Sr Advisor, SoftBank Investment Advisors; Advisor, 8VC)</v>
      </c>
      <c r="G186" s="60">
        <f>IFERROR(__xludf.DUMMYFUNCTION("""COMPUTED_VALUE"""),8.625E8)</f>
        <v>862500000</v>
      </c>
      <c r="H186" s="60"/>
      <c r="I186" s="61">
        <f>IFERROR(__xludf.DUMMYFUNCTION("""COMPUTED_VALUE"""),9.94)</f>
        <v>9.94</v>
      </c>
      <c r="J186" s="62">
        <f>IFERROR(__xludf.DUMMYFUNCTION("""COMPUTED_VALUE"""),0.00607)</f>
        <v>0.00607</v>
      </c>
      <c r="K186" s="59">
        <f>IFERROR(__xludf.DUMMYFUNCTION("""COMPUTED_VALUE"""),10.17)</f>
        <v>10.17</v>
      </c>
      <c r="L186" s="63">
        <f>IFERROR(__xludf.DUMMYFUNCTION("""COMPUTED_VALUE"""),1.22)</f>
        <v>1.22</v>
      </c>
      <c r="M186" s="64" t="str">
        <f>IFERROR(__xludf.DUMMYFUNCTION("""COMPUTED_VALUE"""),"U: [1/4 W]; W: [1:1, $11.5]")</f>
        <v>U: [1/4 W]; W: [1:1, $11.5]</v>
      </c>
      <c r="N186" s="65" t="str">
        <f>IFERROR(__xludf.DUMMYFUNCTION("""COMPUTED_VALUE"""),"")</f>
        <v/>
      </c>
      <c r="O186" s="66">
        <f>IFERROR(__xludf.DUMMYFUNCTION("""COMPUTED_VALUE"""),0.0)</f>
        <v>0</v>
      </c>
      <c r="P186" s="67">
        <f>IFERROR(__xludf.DUMMYFUNCTION("""COMPUTED_VALUE"""),44231.0)</f>
        <v>44231</v>
      </c>
      <c r="Q186" s="68">
        <f>IFERROR(__xludf.DUMMYFUNCTION("""COMPUTED_VALUE"""),862.5)</f>
        <v>862.5</v>
      </c>
      <c r="R186" s="85" t="str">
        <f>IFERROR(__xludf.DUMMYFUNCTION("""COMPUTED_VALUE"""),"Goldman Sachs")</f>
        <v>Goldman Sachs</v>
      </c>
      <c r="S186" s="64">
        <f>IFERROR(__xludf.DUMMYFUNCTION("""COMPUTED_VALUE"""),44961.0)</f>
        <v>44961</v>
      </c>
      <c r="T186" s="70">
        <f>IFERROR(__xludf.DUMMYFUNCTION("""COMPUTED_VALUE"""),0.08904109589041095)</f>
        <v>0.08904109589</v>
      </c>
      <c r="U186" s="71" t="str">
        <f>IFERROR(__xludf.DUMMYFUNCTION("""COMPUTED_VALUE"""),"https://www.sec.gov/cgi-bin/browse-edgar?CIK=1828608")</f>
        <v>https://www.sec.gov/cgi-bin/browse-edgar?CIK=1828608</v>
      </c>
      <c r="V186" s="72" t="str">
        <f>IFERROR(__xludf.DUMMYFUNCTION("""COMPUTED_VALUE""")," Trading Below $10 (Common)  $500M+ Trust     Well-known Sponsor  Top Tier UW ")</f>
        <v> Trading Below $10 (Common)  $500M+ Trust     Well-known Sponsor  Top Tier UW </v>
      </c>
      <c r="W186" s="73"/>
      <c r="X186" s="74"/>
      <c r="Y186" s="75"/>
      <c r="Z186" s="60"/>
      <c r="AA186" s="60"/>
      <c r="AB186" s="60"/>
      <c r="AC186" s="60"/>
      <c r="AD186" s="73"/>
      <c r="AE186" s="73"/>
      <c r="AF186" s="76"/>
      <c r="AG186" s="60" t="str">
        <f>IFERROR(__xludf.DUMMYFUNCTION("""COMPUTED_VALUE"""),"")</f>
        <v/>
      </c>
    </row>
    <row r="187">
      <c r="A187" s="54" t="str">
        <f>IFERROR(__xludf.DUMMYFUNCTION("""COMPUTED_VALUE"""),"CRHC")</f>
        <v>CRHC</v>
      </c>
      <c r="B187" s="55" t="str">
        <f>IFERROR(__xludf.DUMMYFUNCTION("""COMPUTED_VALUE"""),"Cohn Robbins Holdings Corp.")</f>
        <v>Cohn Robbins Holdings Corp.</v>
      </c>
      <c r="C187" s="56" t="str">
        <f>IFERROR(__xludf.DUMMYFUNCTION("""COMPUTED_VALUE"""),"Searching")</f>
        <v>Searching</v>
      </c>
      <c r="D187" s="57"/>
      <c r="E187" s="58"/>
      <c r="F187" s="59" t="str">
        <f>IFERROR(__xludf.DUMMYFUNCTION("""COMPUTED_VALUE"""),"Gary Cohn (Former COO, Goldman Sachs; Former Director of the National Economic Council), Clifton Robbins")</f>
        <v>Gary Cohn (Former COO, Goldman Sachs; Former Director of the National Economic Council), Clifton Robbins</v>
      </c>
      <c r="G187" s="60">
        <f>IFERROR(__xludf.DUMMYFUNCTION("""COMPUTED_VALUE"""),8.2803478E8)</f>
        <v>828034780</v>
      </c>
      <c r="H187" s="60">
        <f>IFERROR(__xludf.DUMMYFUNCTION("""COMPUTED_VALUE"""),8.34624E8)</f>
        <v>834624000</v>
      </c>
      <c r="I187" s="61">
        <f>IFERROR(__xludf.DUMMYFUNCTION("""COMPUTED_VALUE"""),10.08)</f>
        <v>10.08</v>
      </c>
      <c r="J187" s="62">
        <f>IFERROR(__xludf.DUMMYFUNCTION("""COMPUTED_VALUE"""),-9.9E-4)</f>
        <v>-0.00099</v>
      </c>
      <c r="K187" s="59">
        <f>IFERROR(__xludf.DUMMYFUNCTION("""COMPUTED_VALUE"""),10.52)</f>
        <v>10.52</v>
      </c>
      <c r="L187" s="63">
        <f>IFERROR(__xludf.DUMMYFUNCTION("""COMPUTED_VALUE"""),1.4)</f>
        <v>1.4</v>
      </c>
      <c r="M187" s="64" t="str">
        <f>IFERROR(__xludf.DUMMYFUNCTION("""COMPUTED_VALUE"""),"U: [1/3 W]; W: [1:1, $11.5]")</f>
        <v>U: [1/3 W]; W: [1:1, $11.5]</v>
      </c>
      <c r="N187" s="65" t="str">
        <f>IFERROR(__xludf.DUMMYFUNCTION("""COMPUTED_VALUE"""),"")</f>
        <v/>
      </c>
      <c r="O187" s="66">
        <f>IFERROR(__xludf.DUMMYFUNCTION("""COMPUTED_VALUE"""),0.0)</f>
        <v>0</v>
      </c>
      <c r="P187" s="67">
        <f>IFERROR(__xludf.DUMMYFUNCTION("""COMPUTED_VALUE"""),44082.0)</f>
        <v>44082</v>
      </c>
      <c r="Q187" s="68">
        <f>IFERROR(__xludf.DUMMYFUNCTION("""COMPUTED_VALUE"""),828.0)</f>
        <v>828</v>
      </c>
      <c r="R187" s="69" t="str">
        <f>IFERROR(__xludf.DUMMYFUNCTION("""COMPUTED_VALUE"""),"Credit Suisse")</f>
        <v>Credit Suisse</v>
      </c>
      <c r="S187" s="64">
        <f>IFERROR(__xludf.DUMMYFUNCTION("""COMPUTED_VALUE"""),44812.0)</f>
        <v>44812</v>
      </c>
      <c r="T187" s="70">
        <f>IFERROR(__xludf.DUMMYFUNCTION("""COMPUTED_VALUE"""),0.29315068493150687)</f>
        <v>0.2931506849</v>
      </c>
      <c r="U187" s="71" t="str">
        <f>IFERROR(__xludf.DUMMYFUNCTION("""COMPUTED_VALUE"""),"https://www.sec.gov/cgi-bin/browse-edgar?CIK=1818212")</f>
        <v>https://www.sec.gov/cgi-bin/browse-edgar?CIK=1818212</v>
      </c>
      <c r="V187" s="72" t="str">
        <f>IFERROR(__xludf.DUMMYFUNCTION("""COMPUTED_VALUE"""),"   $500M+ Trust     Well-known Sponsor   ")</f>
        <v>   $500M+ Trust     Well-known Sponsor   </v>
      </c>
      <c r="W187" s="73"/>
      <c r="X187" s="74"/>
      <c r="Y187" s="75"/>
      <c r="Z187" s="60"/>
      <c r="AA187" s="60"/>
      <c r="AB187" s="60"/>
      <c r="AC187" s="60"/>
      <c r="AD187" s="73"/>
      <c r="AE187" s="73"/>
      <c r="AF187" s="76"/>
      <c r="AG187" s="60" t="str">
        <f>IFERROR(__xludf.DUMMYFUNCTION("""COMPUTED_VALUE"""),"")</f>
        <v/>
      </c>
    </row>
    <row r="188">
      <c r="A188" s="54" t="str">
        <f>IFERROR(__xludf.DUMMYFUNCTION("""COMPUTED_VALUE"""),"CRSA")</f>
        <v>CRSA</v>
      </c>
      <c r="B188" s="55" t="str">
        <f>IFERROR(__xludf.DUMMYFUNCTION("""COMPUTED_VALUE"""),"Crescent Acquisition Corp")</f>
        <v>Crescent Acquisition Corp</v>
      </c>
      <c r="C188" s="56" t="str">
        <f>IFERROR(__xludf.DUMMYFUNCTION("""COMPUTED_VALUE"""),"Definitive Agreement")</f>
        <v>Definitive Agreement</v>
      </c>
      <c r="D188" s="57"/>
      <c r="E188" s="58" t="str">
        <f>IFERROR(__xludf.DUMMYFUNCTION("""COMPUTED_VALUE"""),"LiveVox [DA: 01/14/21]")</f>
        <v>LiveVox [DA: 01/14/21]</v>
      </c>
      <c r="F188" s="59"/>
      <c r="G188" s="60">
        <f>IFERROR(__xludf.DUMMYFUNCTION("""COMPUTED_VALUE"""),2.53707651E8)</f>
        <v>253707651</v>
      </c>
      <c r="H188" s="60">
        <f>IFERROR(__xludf.DUMMYFUNCTION("""COMPUTED_VALUE"""),2.525E8)</f>
        <v>252500000</v>
      </c>
      <c r="I188" s="61">
        <f>IFERROR(__xludf.DUMMYFUNCTION("""COMPUTED_VALUE"""),10.1)</f>
        <v>10.1</v>
      </c>
      <c r="J188" s="62">
        <f>IFERROR(__xludf.DUMMYFUNCTION("""COMPUTED_VALUE"""),-0.00198)</f>
        <v>-0.00198</v>
      </c>
      <c r="K188" s="59">
        <f>IFERROR(__xludf.DUMMYFUNCTION("""COMPUTED_VALUE"""),10.52)</f>
        <v>10.52</v>
      </c>
      <c r="L188" s="63">
        <f>IFERROR(__xludf.DUMMYFUNCTION("""COMPUTED_VALUE"""),1.22)</f>
        <v>1.22</v>
      </c>
      <c r="M188" s="64" t="str">
        <f>IFERROR(__xludf.DUMMYFUNCTION("""COMPUTED_VALUE"""),"U: [1/2 W]; W: [1:1, $11.5]")</f>
        <v>U: [1/2 W]; W: [1:1, $11.5]</v>
      </c>
      <c r="N188" s="65" t="str">
        <f>IFERROR(__xludf.DUMMYFUNCTION("""COMPUTED_VALUE"""),"")</f>
        <v/>
      </c>
      <c r="O188" s="66">
        <f>IFERROR(__xludf.DUMMYFUNCTION("""COMPUTED_VALUE"""),0.0)</f>
        <v>0</v>
      </c>
      <c r="P188" s="67">
        <f>IFERROR(__xludf.DUMMYFUNCTION("""COMPUTED_VALUE"""),43532.0)</f>
        <v>43532</v>
      </c>
      <c r="Q188" s="68">
        <f>IFERROR(__xludf.DUMMYFUNCTION("""COMPUTED_VALUE"""),250.0)</f>
        <v>250</v>
      </c>
      <c r="R188" s="69" t="str">
        <f>IFERROR(__xludf.DUMMYFUNCTION("""COMPUTED_VALUE"""),"Credit Suisse, BofA Merrill Lynch")</f>
        <v>Credit Suisse, BofA Merrill Lynch</v>
      </c>
      <c r="S188" s="64">
        <f>IFERROR(__xludf.DUMMYFUNCTION("""COMPUTED_VALUE"""),44377.0)</f>
        <v>44377</v>
      </c>
      <c r="T188" s="70">
        <f>IFERROR(__xludf.DUMMYFUNCTION("""COMPUTED_VALUE"""),0.9041420118343195)</f>
        <v>0.9041420118</v>
      </c>
      <c r="U188" s="71" t="str">
        <f>IFERROR(__xludf.DUMMYFUNCTION("""COMPUTED_VALUE"""),"https://www.sec.gov/cgi-bin/browse-edgar?CIK=1723648")</f>
        <v>https://www.sec.gov/cgi-bin/browse-edgar?CIK=1723648</v>
      </c>
      <c r="V188" s="72" t="str">
        <f>IFERROR(__xludf.DUMMYFUNCTION("""COMPUTED_VALUE"""),"     Optionable       ")</f>
        <v>     Optionable       </v>
      </c>
      <c r="W188" s="73">
        <f>IFERROR(__xludf.DUMMYFUNCTION("""COMPUTED_VALUE"""),44210.0)</f>
        <v>44210</v>
      </c>
      <c r="X188" s="79">
        <f>IFERROR(__xludf.DUMMYFUNCTION("""COMPUTED_VALUE"""),22.6)</f>
        <v>22.6</v>
      </c>
      <c r="Y188" s="80" t="str">
        <f>IFERROR(__xludf.DUMMYFUNCTION("""COMPUTED_VALUE"""),"https://www.businesswire.com/news/home/20210114005314/en/LiveVox-a-Leading-Cloud-Based-Contact-Center-Platform-to-Merge-with-Crescent-Acquisition-Corp-to-Become-a-Publicly-Traded-Company-in-an-840-Million-Transaction")</f>
        <v>https://www.businesswire.com/news/home/20210114005314/en/LiveVox-a-Leading-Cloud-Based-Contact-Center-Platform-to-Merge-with-Crescent-Acquisition-Corp-to-Become-a-Publicly-Traded-Company-in-an-840-Million-Transaction</v>
      </c>
      <c r="Z188" s="81" t="str">
        <f>IFERROR(__xludf.DUMMYFUNCTION("""COMPUTED_VALUE"""),"https://www.sec.gov/Archives/edgar/data/1723648/000119312521008635/d104135dex992.htm")</f>
        <v>https://www.sec.gov/Archives/edgar/data/1723648/000119312521008635/d104135dex992.htm</v>
      </c>
      <c r="AA188" s="60">
        <f>IFERROR(__xludf.DUMMYFUNCTION("""COMPUTED_VALUE"""),7.5E7)</f>
        <v>75000000</v>
      </c>
      <c r="AB188" s="60">
        <f>IFERROR(__xludf.DUMMYFUNCTION("""COMPUTED_VALUE"""),8.96E8)</f>
        <v>896000000</v>
      </c>
      <c r="AC188" s="60">
        <f>IFERROR(__xludf.DUMMYFUNCTION("""COMPUTED_VALUE"""),8.4E8)</f>
        <v>840000000</v>
      </c>
      <c r="AD188" s="73"/>
      <c r="AE188" s="73"/>
      <c r="AF188" s="76">
        <f>IFERROR(__xludf.DUMMYFUNCTION("""COMPUTED_VALUE"""),8.96E7)</f>
        <v>89600000</v>
      </c>
      <c r="AG188" s="60">
        <f>IFERROR(__xludf.DUMMYFUNCTION("""COMPUTED_VALUE"""),9.0496E8)</f>
        <v>904960000</v>
      </c>
    </row>
    <row r="189">
      <c r="A189" s="54" t="str">
        <f>IFERROR(__xludf.DUMMYFUNCTION("""COMPUTED_VALUE"""),"CRU")</f>
        <v>CRU</v>
      </c>
      <c r="B189" s="55" t="str">
        <f>IFERROR(__xludf.DUMMYFUNCTION("""COMPUTED_VALUE"""),"Crucible Acquisition Corporation")</f>
        <v>Crucible Acquisition Corporation</v>
      </c>
      <c r="C189" s="56" t="str">
        <f>IFERROR(__xludf.DUMMYFUNCTION("""COMPUTED_VALUE"""),"Searching")</f>
        <v>Searching</v>
      </c>
      <c r="D189" s="57" t="str">
        <f>IFERROR(__xludf.DUMMYFUNCTION("""COMPUTED_VALUE"""),"Software Tech (Focus in Cloud-based recurring revenue)")</f>
        <v>Software Tech (Focus in Cloud-based recurring revenue)</v>
      </c>
      <c r="E189" s="58"/>
      <c r="F189" s="59" t="str">
        <f>IFERROR(__xludf.DUMMYFUNCTION("""COMPUTED_VALUE"""),"Brad Feld (Founding Partner, Foundry Group; Co-founder, Techstars)")</f>
        <v>Brad Feld (Founding Partner, Foundry Group; Co-founder, Techstars)</v>
      </c>
      <c r="G189" s="60">
        <f>IFERROR(__xludf.DUMMYFUNCTION("""COMPUTED_VALUE"""),2.5875E8)</f>
        <v>258750000</v>
      </c>
      <c r="H189" s="60">
        <f>IFERROR(__xludf.DUMMYFUNCTION("""COMPUTED_VALUE"""),2.6211375E8)</f>
        <v>262113750</v>
      </c>
      <c r="I189" s="61">
        <f>IFERROR(__xludf.DUMMYFUNCTION("""COMPUTED_VALUE"""),10.13)</f>
        <v>10.13</v>
      </c>
      <c r="J189" s="62">
        <f>IFERROR(__xludf.DUMMYFUNCTION("""COMPUTED_VALUE"""),0.00997)</f>
        <v>0.00997</v>
      </c>
      <c r="K189" s="59">
        <f>IFERROR(__xludf.DUMMYFUNCTION("""COMPUTED_VALUE"""),10.53)</f>
        <v>10.53</v>
      </c>
      <c r="L189" s="63" t="str">
        <f>IFERROR(__xludf.DUMMYFUNCTION("""COMPUTED_VALUE""")," ")</f>
        <v> </v>
      </c>
      <c r="M189" s="64" t="str">
        <f>IFERROR(__xludf.DUMMYFUNCTION("""COMPUTED_VALUE"""),"U: [1/3 W]; W: [1:1, $11.5]")</f>
        <v>U: [1/3 W]; W: [1:1, $11.5]</v>
      </c>
      <c r="N189" s="65">
        <f>IFERROR(__xludf.DUMMYFUNCTION("""COMPUTED_VALUE"""),44252.0)</f>
        <v>44252</v>
      </c>
      <c r="O189" s="66">
        <f>IFERROR(__xludf.DUMMYFUNCTION("""COMPUTED_VALUE"""),0.0)</f>
        <v>0</v>
      </c>
      <c r="P189" s="67">
        <f>IFERROR(__xludf.DUMMYFUNCTION("""COMPUTED_VALUE"""),44201.0)</f>
        <v>44201</v>
      </c>
      <c r="Q189" s="68">
        <f>IFERROR(__xludf.DUMMYFUNCTION("""COMPUTED_VALUE"""),258.75)</f>
        <v>258.75</v>
      </c>
      <c r="R189" s="69" t="str">
        <f>IFERROR(__xludf.DUMMYFUNCTION("""COMPUTED_VALUE"""),"Credit Suisse")</f>
        <v>Credit Suisse</v>
      </c>
      <c r="S189" s="64">
        <f>IFERROR(__xludf.DUMMYFUNCTION("""COMPUTED_VALUE"""),44931.0)</f>
        <v>44931</v>
      </c>
      <c r="T189" s="70">
        <f>IFERROR(__xludf.DUMMYFUNCTION("""COMPUTED_VALUE"""),0.13013698630136986)</f>
        <v>0.1301369863</v>
      </c>
      <c r="U189" s="71" t="str">
        <f>IFERROR(__xludf.DUMMYFUNCTION("""COMPUTED_VALUE"""),"https://www.sec.gov/cgi-bin/browse-edgar?CIK=1825497")</f>
        <v>https://www.sec.gov/cgi-bin/browse-edgar?CIK=1825497</v>
      </c>
      <c r="V189" s="72" t="str">
        <f>IFERROR(__xludf.DUMMYFUNCTION("""COMPUTED_VALUE"""),"         Well-known Sponsor   ")</f>
        <v>         Well-known Sponsor   </v>
      </c>
      <c r="W189" s="73"/>
      <c r="X189" s="74"/>
      <c r="Y189" s="75"/>
      <c r="Z189" s="60"/>
      <c r="AA189" s="60"/>
      <c r="AB189" s="60"/>
      <c r="AC189" s="60"/>
      <c r="AD189" s="73"/>
      <c r="AE189" s="73"/>
      <c r="AF189" s="76"/>
      <c r="AG189" s="60" t="str">
        <f>IFERROR(__xludf.DUMMYFUNCTION("""COMPUTED_VALUE"""),"")</f>
        <v/>
      </c>
    </row>
    <row r="190">
      <c r="A190" s="54" t="str">
        <f>IFERROR(__xludf.DUMMYFUNCTION("""COMPUTED_VALUE"""),"CRUA")</f>
        <v>CRUA</v>
      </c>
      <c r="B190" s="55" t="str">
        <f>IFERROR(__xludf.DUMMYFUNCTION("""COMPUTED_VALUE"""),"Crucible Acquisition Corp. II")</f>
        <v>Crucible Acquisition Corp. II</v>
      </c>
      <c r="C190" s="56" t="str">
        <f>IFERROR(__xludf.DUMMYFUNCTION("""COMPUTED_VALUE"""),"Pre IPO")</f>
        <v>Pre IPO</v>
      </c>
      <c r="D190" s="57" t="str">
        <f>IFERROR(__xludf.DUMMYFUNCTION("""COMPUTED_VALUE"""),"Software Tech")</f>
        <v>Software Tech</v>
      </c>
      <c r="E190" s="58"/>
      <c r="F190" s="59" t="str">
        <f>IFERROR(__xludf.DUMMYFUNCTION("""COMPUTED_VALUE"""),"Brad Feld (Founding Partner of Foundry Group and Co-founder of Techstars)")</f>
        <v>Brad Feld (Founding Partner of Foundry Group and Co-founder of Techstars)</v>
      </c>
      <c r="G190" s="60">
        <f>IFERROR(__xludf.DUMMYFUNCTION("""COMPUTED_VALUE"""),2.0E8)</f>
        <v>200000000</v>
      </c>
      <c r="H190" s="60" t="str">
        <f>IFERROR(__xludf.DUMMYFUNCTION("""COMPUTED_VALUE""")," ")</f>
        <v> </v>
      </c>
      <c r="I190" s="61" t="str">
        <f>IFERROR(__xludf.DUMMYFUNCTION("""COMPUTED_VALUE""")," ")</f>
        <v> </v>
      </c>
      <c r="J190" s="62" t="str">
        <f>IFERROR(__xludf.DUMMYFUNCTION("""COMPUTED_VALUE""")," ")</f>
        <v> </v>
      </c>
      <c r="K190" s="59" t="str">
        <f>IFERROR(__xludf.DUMMYFUNCTION("""COMPUTED_VALUE""")," ")</f>
        <v> </v>
      </c>
      <c r="L190" s="63" t="str">
        <f>IFERROR(__xludf.DUMMYFUNCTION("""COMPUTED_VALUE""")," ")</f>
        <v> </v>
      </c>
      <c r="M190" s="64" t="str">
        <f>IFERROR(__xludf.DUMMYFUNCTION("""COMPUTED_VALUE"""),"U: [1/4 W]; W: [1:1, $11.5]")</f>
        <v>U: [1/4 W]; W: [1:1, $11.5]</v>
      </c>
      <c r="N190" s="65" t="str">
        <f>IFERROR(__xludf.DUMMYFUNCTION("""COMPUTED_VALUE"""),"")</f>
        <v/>
      </c>
      <c r="O190" s="66">
        <f>IFERROR(__xludf.DUMMYFUNCTION("""COMPUTED_VALUE"""),0.0)</f>
        <v>0</v>
      </c>
      <c r="P190" s="67"/>
      <c r="Q190" s="68">
        <f>IFERROR(__xludf.DUMMYFUNCTION("""COMPUTED_VALUE"""),200.0)</f>
        <v>200</v>
      </c>
      <c r="R190" s="69" t="str">
        <f>IFERROR(__xludf.DUMMYFUNCTION("""COMPUTED_VALUE"""),"Credit Suisse")</f>
        <v>Credit Suisse</v>
      </c>
      <c r="S190" s="64">
        <f>IFERROR(__xludf.DUMMYFUNCTION("""COMPUTED_VALUE"""),45086.0)</f>
        <v>45086</v>
      </c>
      <c r="T190" s="70" t="str">
        <f>IFERROR(__xludf.DUMMYFUNCTION("""COMPUTED_VALUE"""),"")</f>
        <v/>
      </c>
      <c r="U190" s="71" t="str">
        <f>IFERROR(__xludf.DUMMYFUNCTION("""COMPUTED_VALUE"""),"https://www.sec.gov/cgi-bin/browse-edgar?CIK=1849030")</f>
        <v>https://www.sec.gov/cgi-bin/browse-edgar?CIK=1849030</v>
      </c>
      <c r="V190" s="72" t="str">
        <f>IFERROR(__xludf.DUMMYFUNCTION("""COMPUTED_VALUE"""),"         Well-known Sponsor   ")</f>
        <v>         Well-known Sponsor   </v>
      </c>
      <c r="W190" s="73"/>
      <c r="X190" s="74"/>
      <c r="Y190" s="75"/>
      <c r="Z190" s="60"/>
      <c r="AA190" s="60"/>
      <c r="AB190" s="60"/>
      <c r="AC190" s="60"/>
      <c r="AD190" s="73"/>
      <c r="AE190" s="73"/>
      <c r="AF190" s="76"/>
      <c r="AG190" s="60"/>
    </row>
    <row r="191">
      <c r="A191" s="54" t="str">
        <f>IFERROR(__xludf.DUMMYFUNCTION("""COMPUTED_VALUE"""),"CRUB")</f>
        <v>CRUB</v>
      </c>
      <c r="B191" s="55" t="str">
        <f>IFERROR(__xludf.DUMMYFUNCTION("""COMPUTED_VALUE"""),"Crucible Acquisition Corp. III")</f>
        <v>Crucible Acquisition Corp. III</v>
      </c>
      <c r="C191" s="56" t="str">
        <f>IFERROR(__xludf.DUMMYFUNCTION("""COMPUTED_VALUE"""),"Pre IPO")</f>
        <v>Pre IPO</v>
      </c>
      <c r="D191" s="77" t="str">
        <f>IFERROR(__xludf.DUMMYFUNCTION("""COMPUTED_VALUE"""),"Software Tech")</f>
        <v>Software Tech</v>
      </c>
      <c r="E191" s="58"/>
      <c r="F191" s="59" t="str">
        <f>IFERROR(__xludf.DUMMYFUNCTION("""COMPUTED_VALUE"""),"Brad Feld (Founding Partner of Foundry Group and Co-founder of Techstars), Tina Sharkey (Co-founder and Former CEO of Brandless, Director of PBS, and Former Director of HomeAway)")</f>
        <v>Brad Feld (Founding Partner of Foundry Group and Co-founder of Techstars), Tina Sharkey (Co-founder and Former CEO of Brandless, Director of PBS, and Former Director of HomeAway)</v>
      </c>
      <c r="G191" s="60">
        <f>IFERROR(__xludf.DUMMYFUNCTION("""COMPUTED_VALUE"""),3.5E8)</f>
        <v>350000000</v>
      </c>
      <c r="H191" s="60" t="str">
        <f>IFERROR(__xludf.DUMMYFUNCTION("""COMPUTED_VALUE""")," ")</f>
        <v> </v>
      </c>
      <c r="I191" s="61" t="str">
        <f>IFERROR(__xludf.DUMMYFUNCTION("""COMPUTED_VALUE""")," ")</f>
        <v> </v>
      </c>
      <c r="J191" s="62" t="str">
        <f>IFERROR(__xludf.DUMMYFUNCTION("""COMPUTED_VALUE""")," ")</f>
        <v> </v>
      </c>
      <c r="K191" s="59" t="str">
        <f>IFERROR(__xludf.DUMMYFUNCTION("""COMPUTED_VALUE""")," ")</f>
        <v> </v>
      </c>
      <c r="L191" s="63" t="str">
        <f>IFERROR(__xludf.DUMMYFUNCTION("""COMPUTED_VALUE""")," ")</f>
        <v> </v>
      </c>
      <c r="M191" s="64" t="str">
        <f>IFERROR(__xludf.DUMMYFUNCTION("""COMPUTED_VALUE"""),"U: [1/4 W]; W: [1:1, $11.5]")</f>
        <v>U: [1/4 W]; W: [1:1, $11.5]</v>
      </c>
      <c r="N191" s="65" t="str">
        <f>IFERROR(__xludf.DUMMYFUNCTION("""COMPUTED_VALUE"""),"")</f>
        <v/>
      </c>
      <c r="O191" s="66">
        <f>IFERROR(__xludf.DUMMYFUNCTION("""COMPUTED_VALUE"""),0.0)</f>
        <v>0</v>
      </c>
      <c r="P191" s="67"/>
      <c r="Q191" s="68">
        <f>IFERROR(__xludf.DUMMYFUNCTION("""COMPUTED_VALUE"""),350.0)</f>
        <v>350</v>
      </c>
      <c r="R191" s="69" t="str">
        <f>IFERROR(__xludf.DUMMYFUNCTION("""COMPUTED_VALUE"""),"Credit Suisse")</f>
        <v>Credit Suisse</v>
      </c>
      <c r="S191" s="64">
        <f>IFERROR(__xludf.DUMMYFUNCTION("""COMPUTED_VALUE"""),45086.0)</f>
        <v>45086</v>
      </c>
      <c r="T191" s="70" t="str">
        <f>IFERROR(__xludf.DUMMYFUNCTION("""COMPUTED_VALUE"""),"")</f>
        <v/>
      </c>
      <c r="U191" s="71" t="str">
        <f>IFERROR(__xludf.DUMMYFUNCTION("""COMPUTED_VALUE"""),"https://www.sec.gov/cgi-bin/browse-edgar?CIK=1849035")</f>
        <v>https://www.sec.gov/cgi-bin/browse-edgar?CIK=1849035</v>
      </c>
      <c r="V191" s="72" t="str">
        <f>IFERROR(__xludf.DUMMYFUNCTION("""COMPUTED_VALUE"""),"         Well-known Sponsor   ")</f>
        <v>         Well-known Sponsor   </v>
      </c>
      <c r="W191" s="73"/>
      <c r="X191" s="74"/>
      <c r="Y191" s="75"/>
      <c r="Z191" s="60"/>
      <c r="AA191" s="60"/>
      <c r="AB191" s="60"/>
      <c r="AC191" s="60"/>
      <c r="AD191" s="73"/>
      <c r="AE191" s="73"/>
      <c r="AF191" s="76"/>
      <c r="AG191" s="60"/>
    </row>
    <row r="192">
      <c r="A192" s="54" t="str">
        <f>IFERROR(__xludf.DUMMYFUNCTION("""COMPUTED_VALUE"""),"CRZN")</f>
        <v>CRZN</v>
      </c>
      <c r="B192" s="55" t="str">
        <f>IFERROR(__xludf.DUMMYFUNCTION("""COMPUTED_VALUE"""),"Corazon Capital V838 Monoceros Corp")</f>
        <v>Corazon Capital V838 Monoceros Corp</v>
      </c>
      <c r="C192" s="56" t="str">
        <f>IFERROR(__xludf.DUMMYFUNCTION("""COMPUTED_VALUE"""),"Searching (Pre Unit Split)")</f>
        <v>Searching (Pre Unit Split)</v>
      </c>
      <c r="D192" s="77" t="str">
        <f>IFERROR(__xludf.DUMMYFUNCTION("""COMPUTED_VALUE"""),"Consumer Tech")</f>
        <v>Consumer Tech</v>
      </c>
      <c r="E192" s="58"/>
      <c r="F192" s="59" t="str">
        <f>IFERROR(__xludf.DUMMYFUNCTION("""COMPUTED_VALUE"""),"Sam Yagan (CEO, ShopRunner; Fmr Vice Chairman, Match Group; Co-founder, OkCupid), Steve Farsht (Director, TradingView), Phil Schwarz (Fmr CMO, Tinder)")</f>
        <v>Sam Yagan (CEO, ShopRunner; Fmr Vice Chairman, Match Group; Co-founder, OkCupid), Steve Farsht (Director, TradingView), Phil Schwarz (Fmr CMO, Tinder)</v>
      </c>
      <c r="G192" s="60">
        <f>IFERROR(__xludf.DUMMYFUNCTION("""COMPUTED_VALUE"""),2.0E8)</f>
        <v>200000000</v>
      </c>
      <c r="H192" s="60" t="str">
        <f>IFERROR(__xludf.DUMMYFUNCTION("""COMPUTED_VALUE""")," ")</f>
        <v> </v>
      </c>
      <c r="I192" s="61" t="str">
        <f>IFERROR(__xludf.DUMMYFUNCTION("""COMPUTED_VALUE""")," ")</f>
        <v> </v>
      </c>
      <c r="J192" s="62" t="str">
        <f>IFERROR(__xludf.DUMMYFUNCTION("""COMPUTED_VALUE""")," ")</f>
        <v> </v>
      </c>
      <c r="K192" s="59">
        <f>IFERROR(__xludf.DUMMYFUNCTION("""COMPUTED_VALUE"""),10.01)</f>
        <v>10.01</v>
      </c>
      <c r="L192" s="63" t="str">
        <f>IFERROR(__xludf.DUMMYFUNCTION("""COMPUTED_VALUE""")," ")</f>
        <v> </v>
      </c>
      <c r="M192" s="64" t="str">
        <f>IFERROR(__xludf.DUMMYFUNCTION("""COMPUTED_VALUE"""),"U: [1/3 W]; W: [1:1, $11.5]")</f>
        <v>U: [1/3 W]; W: [1:1, $11.5]</v>
      </c>
      <c r="N192" s="65">
        <f>IFERROR(__xludf.DUMMYFUNCTION("""COMPUTED_VALUE"""),44330.0)</f>
        <v>44330</v>
      </c>
      <c r="O192" s="66" t="str">
        <f>IFERROR(__xludf.DUMMYFUNCTION("""COMPUTED_VALUE"""),"")</f>
        <v/>
      </c>
      <c r="P192" s="67">
        <f>IFERROR(__xludf.DUMMYFUNCTION("""COMPUTED_VALUE"""),44278.0)</f>
        <v>44278</v>
      </c>
      <c r="Q192" s="68">
        <f>IFERROR(__xludf.DUMMYFUNCTION("""COMPUTED_VALUE"""),200.0)</f>
        <v>200</v>
      </c>
      <c r="R192" s="69" t="str">
        <f>IFERROR(__xludf.DUMMYFUNCTION("""COMPUTED_VALUE"""),"Citigroup")</f>
        <v>Citigroup</v>
      </c>
      <c r="S192" s="64">
        <f>IFERROR(__xludf.DUMMYFUNCTION("""COMPUTED_VALUE"""),45008.0)</f>
        <v>45008</v>
      </c>
      <c r="T192" s="70">
        <f>IFERROR(__xludf.DUMMYFUNCTION("""COMPUTED_VALUE"""),0.024657534246575342)</f>
        <v>0.02465753425</v>
      </c>
      <c r="U192" s="71" t="str">
        <f>IFERROR(__xludf.DUMMYFUNCTION("""COMPUTED_VALUE"""),"https://www.sec.gov/cgi-bin/browse-edgar?CIK=1844635")</f>
        <v>https://www.sec.gov/cgi-bin/browse-edgar?CIK=1844635</v>
      </c>
      <c r="V192" s="72" t="str">
        <f>IFERROR(__xludf.DUMMYFUNCTION("""COMPUTED_VALUE"""),"           Top Tier UW ")</f>
        <v>           Top Tier UW </v>
      </c>
      <c r="W192" s="73"/>
      <c r="X192" s="74"/>
      <c r="Y192" s="75"/>
      <c r="Z192" s="60"/>
      <c r="AA192" s="60"/>
      <c r="AB192" s="60"/>
      <c r="AC192" s="60"/>
      <c r="AD192" s="73"/>
      <c r="AE192" s="73"/>
      <c r="AF192" s="76"/>
      <c r="AG192" s="60"/>
    </row>
    <row r="193">
      <c r="A193" s="54" t="str">
        <f>IFERROR(__xludf.DUMMYFUNCTION("""COMPUTED_VALUE"""),"CSIC")</f>
        <v>CSIC</v>
      </c>
      <c r="B193" s="55" t="str">
        <f>IFERROR(__xludf.DUMMYFUNCTION("""COMPUTED_VALUE"""),"Cornerstone Investment Capital Holdings Co.")</f>
        <v>Cornerstone Investment Capital Holdings Co.</v>
      </c>
      <c r="C193" s="56" t="str">
        <f>IFERROR(__xludf.DUMMYFUNCTION("""COMPUTED_VALUE"""),"Pre IPO")</f>
        <v>Pre IPO</v>
      </c>
      <c r="D193" s="77" t="str">
        <f>IFERROR(__xludf.DUMMYFUNCTION("""COMPUTED_VALUE"""),"Tech")</f>
        <v>Tech</v>
      </c>
      <c r="E193" s="58"/>
      <c r="F193" s="59" t="str">
        <f>IFERROR(__xludf.DUMMYFUNCTION("""COMPUTED_VALUE"""),"Robert Greifeld (Former Chairman &amp; CEO of Nasdaq, Chairman of Virtu Financial)")</f>
        <v>Robert Greifeld (Former Chairman &amp; CEO of Nasdaq, Chairman of Virtu Financial)</v>
      </c>
      <c r="G193" s="60">
        <f>IFERROR(__xludf.DUMMYFUNCTION("""COMPUTED_VALUE"""),2.5E8)</f>
        <v>250000000</v>
      </c>
      <c r="H193" s="60" t="str">
        <f>IFERROR(__xludf.DUMMYFUNCTION("""COMPUTED_VALUE""")," ")</f>
        <v> </v>
      </c>
      <c r="I193" s="61" t="str">
        <f>IFERROR(__xludf.DUMMYFUNCTION("""COMPUTED_VALUE""")," ")</f>
        <v> </v>
      </c>
      <c r="J193" s="62" t="str">
        <f>IFERROR(__xludf.DUMMYFUNCTION("""COMPUTED_VALUE""")," ")</f>
        <v> </v>
      </c>
      <c r="K193" s="59" t="str">
        <f>IFERROR(__xludf.DUMMYFUNCTION("""COMPUTED_VALUE""")," ")</f>
        <v> </v>
      </c>
      <c r="L193" s="63" t="str">
        <f>IFERROR(__xludf.DUMMYFUNCTION("""COMPUTED_VALUE""")," ")</f>
        <v> </v>
      </c>
      <c r="M193" s="64" t="str">
        <f>IFERROR(__xludf.DUMMYFUNCTION("""COMPUTED_VALUE"""),"U: [1/3 W]; W: [1:1, $11.5]")</f>
        <v>U: [1/3 W]; W: [1:1, $11.5]</v>
      </c>
      <c r="N193" s="65" t="str">
        <f>IFERROR(__xludf.DUMMYFUNCTION("""COMPUTED_VALUE"""),"")</f>
        <v/>
      </c>
      <c r="O193" s="66">
        <f>IFERROR(__xludf.DUMMYFUNCTION("""COMPUTED_VALUE"""),0.0)</f>
        <v>0</v>
      </c>
      <c r="P193" s="67"/>
      <c r="Q193" s="68">
        <f>IFERROR(__xludf.DUMMYFUNCTION("""COMPUTED_VALUE"""),250.0)</f>
        <v>250</v>
      </c>
      <c r="R193" s="69" t="str">
        <f>IFERROR(__xludf.DUMMYFUNCTION("""COMPUTED_VALUE"""),"J.P. Morgan, Barclays")</f>
        <v>J.P. Morgan, Barclays</v>
      </c>
      <c r="S193" s="64">
        <f>IFERROR(__xludf.DUMMYFUNCTION("""COMPUTED_VALUE"""),45086.0)</f>
        <v>45086</v>
      </c>
      <c r="T193" s="70" t="str">
        <f>IFERROR(__xludf.DUMMYFUNCTION("""COMPUTED_VALUE"""),"")</f>
        <v/>
      </c>
      <c r="U193" s="71" t="str">
        <f>IFERROR(__xludf.DUMMYFUNCTION("""COMPUTED_VALUE"""),"https://www.sec.gov/cgi-bin/browse-edgar?CIK=1844592")</f>
        <v>https://www.sec.gov/cgi-bin/browse-edgar?CIK=1844592</v>
      </c>
      <c r="V193" s="72" t="str">
        <f>IFERROR(__xludf.DUMMYFUNCTION("""COMPUTED_VALUE"""),"         Well-known Sponsor   ")</f>
        <v>         Well-known Sponsor   </v>
      </c>
      <c r="W193" s="73"/>
      <c r="X193" s="74"/>
      <c r="Y193" s="75"/>
      <c r="Z193" s="60"/>
      <c r="AA193" s="60"/>
      <c r="AB193" s="60"/>
      <c r="AC193" s="60"/>
      <c r="AD193" s="73"/>
      <c r="AE193" s="73"/>
      <c r="AF193" s="76"/>
      <c r="AG193" s="60"/>
    </row>
    <row r="194">
      <c r="A194" s="54" t="str">
        <f>IFERROR(__xludf.DUMMYFUNCTION("""COMPUTED_VALUE"""),"CSTA")</f>
        <v>CSTA</v>
      </c>
      <c r="B194" s="55" t="str">
        <f>IFERROR(__xludf.DUMMYFUNCTION("""COMPUTED_VALUE"""),"Constellation Acquisition Corp I")</f>
        <v>Constellation Acquisition Corp I</v>
      </c>
      <c r="C194" s="56" t="str">
        <f>IFERROR(__xludf.DUMMYFUNCTION("""COMPUTED_VALUE"""),"Searching")</f>
        <v>Searching</v>
      </c>
      <c r="D194" s="57"/>
      <c r="E194" s="58"/>
      <c r="F194" s="59" t="str">
        <f>IFERROR(__xludf.DUMMYFUNCTION("""COMPUTED_VALUE"""),"Klaus Kleinfeld (Fmr CEO, Arconic; Fmr CEO, Alcoa)")</f>
        <v>Klaus Kleinfeld (Fmr CEO, Arconic; Fmr CEO, Alcoa)</v>
      </c>
      <c r="G194" s="60">
        <f>IFERROR(__xludf.DUMMYFUNCTION("""COMPUTED_VALUE"""),3.0E8)</f>
        <v>300000000</v>
      </c>
      <c r="H194" s="60"/>
      <c r="I194" s="61">
        <f>IFERROR(__xludf.DUMMYFUNCTION("""COMPUTED_VALUE"""),9.93)</f>
        <v>9.93</v>
      </c>
      <c r="J194" s="62">
        <f>IFERROR(__xludf.DUMMYFUNCTION("""COMPUTED_VALUE"""),0.00101)</f>
        <v>0.00101</v>
      </c>
      <c r="K194" s="59">
        <f>IFERROR(__xludf.DUMMYFUNCTION("""COMPUTED_VALUE"""),10.15)</f>
        <v>10.15</v>
      </c>
      <c r="L194" s="63">
        <f>IFERROR(__xludf.DUMMYFUNCTION("""COMPUTED_VALUE"""),0.84)</f>
        <v>0.84</v>
      </c>
      <c r="M194" s="64" t="str">
        <f>IFERROR(__xludf.DUMMYFUNCTION("""COMPUTED_VALUE"""),"U: [1/3 W]; W: [1:1, $11.5]")</f>
        <v>U: [1/3 W]; W: [1:1, $11.5]</v>
      </c>
      <c r="N194" s="65" t="str">
        <f>IFERROR(__xludf.DUMMYFUNCTION("""COMPUTED_VALUE"""),"")</f>
        <v/>
      </c>
      <c r="O194" s="66">
        <f>IFERROR(__xludf.DUMMYFUNCTION("""COMPUTED_VALUE"""),0.0)</f>
        <v>0</v>
      </c>
      <c r="P194" s="67">
        <f>IFERROR(__xludf.DUMMYFUNCTION("""COMPUTED_VALUE"""),44222.0)</f>
        <v>44222</v>
      </c>
      <c r="Q194" s="68">
        <f>IFERROR(__xludf.DUMMYFUNCTION("""COMPUTED_VALUE"""),300.0)</f>
        <v>300</v>
      </c>
      <c r="R194" s="85" t="str">
        <f>IFERROR(__xludf.DUMMYFUNCTION("""COMPUTED_VALUE"""),"Deutsche Bank Securities, Morgan Stanley")</f>
        <v>Deutsche Bank Securities, Morgan Stanley</v>
      </c>
      <c r="S194" s="64">
        <f>IFERROR(__xludf.DUMMYFUNCTION("""COMPUTED_VALUE"""),44952.0)</f>
        <v>44952</v>
      </c>
      <c r="T194" s="70">
        <f>IFERROR(__xludf.DUMMYFUNCTION("""COMPUTED_VALUE"""),0.10136986301369863)</f>
        <v>0.101369863</v>
      </c>
      <c r="U194" s="71" t="str">
        <f>IFERROR(__xludf.DUMMYFUNCTION("""COMPUTED_VALUE"""),"https://www.sec.gov/cgi-bin/browse-edgar?CIK=1834032")</f>
        <v>https://www.sec.gov/cgi-bin/browse-edgar?CIK=1834032</v>
      </c>
      <c r="V194" s="72" t="str">
        <f>IFERROR(__xludf.DUMMYFUNCTION("""COMPUTED_VALUE""")," Trading Below $10 (Common)        Well-known Sponsor  Top Tier UW ")</f>
        <v> Trading Below $10 (Common)        Well-known Sponsor  Top Tier UW </v>
      </c>
      <c r="W194" s="73"/>
      <c r="X194" s="74"/>
      <c r="Y194" s="75"/>
      <c r="Z194" s="60"/>
      <c r="AA194" s="60"/>
      <c r="AB194" s="60"/>
      <c r="AC194" s="60"/>
      <c r="AD194" s="73"/>
      <c r="AE194" s="73"/>
      <c r="AF194" s="76"/>
      <c r="AG194" s="60" t="str">
        <f>IFERROR(__xludf.DUMMYFUNCTION("""COMPUTED_VALUE"""),"")</f>
        <v/>
      </c>
    </row>
    <row r="195">
      <c r="A195" s="54" t="str">
        <f>IFERROR(__xludf.DUMMYFUNCTION("""COMPUTED_VALUE"""),"CTAC")</f>
        <v>CTAC</v>
      </c>
      <c r="B195" s="55" t="str">
        <f>IFERROR(__xludf.DUMMYFUNCTION("""COMPUTED_VALUE"""),"Cerberus Telecom Acquisition Corp")</f>
        <v>Cerberus Telecom Acquisition Corp</v>
      </c>
      <c r="C195" s="56" t="str">
        <f>IFERROR(__xludf.DUMMYFUNCTION("""COMPUTED_VALUE"""),"Definitive Agreement")</f>
        <v>Definitive Agreement</v>
      </c>
      <c r="D195" s="57" t="str">
        <f>IFERROR(__xludf.DUMMYFUNCTION("""COMPUTED_VALUE"""),"Information and Communications Technology")</f>
        <v>Information and Communications Technology</v>
      </c>
      <c r="E195" s="58" t="str">
        <f>IFERROR(__xludf.DUMMYFUNCTION("""COMPUTED_VALUE"""),"KORE [DA: 03/12/21]")</f>
        <v>KORE [DA: 03/12/21]</v>
      </c>
      <c r="F195" s="59" t="str">
        <f>IFERROR(__xludf.DUMMYFUNCTION("""COMPUTED_VALUE"""),"Timothy Donahue (Fmr CEO, Nextel; Fmr Exec Chairman, Sprint Nextel), Dr. Shaygan Kheradpir (Fmr Group Chief Information Officer, Verizon), Dr. Hossein Moiin (Fmr CTO, Nokia)")</f>
        <v>Timothy Donahue (Fmr CEO, Nextel; Fmr Exec Chairman, Sprint Nextel), Dr. Shaygan Kheradpir (Fmr Group Chief Information Officer, Verizon), Dr. Hossein Moiin (Fmr CTO, Nokia)</v>
      </c>
      <c r="G195" s="60">
        <f>IFERROR(__xludf.DUMMYFUNCTION("""COMPUTED_VALUE"""),2.59173294E8)</f>
        <v>259173294</v>
      </c>
      <c r="H195" s="60">
        <f>IFERROR(__xludf.DUMMYFUNCTION("""COMPUTED_VALUE"""),2.66015618E8)</f>
        <v>266015618</v>
      </c>
      <c r="I195" s="61">
        <f>IFERROR(__xludf.DUMMYFUNCTION("""COMPUTED_VALUE"""),9.95)</f>
        <v>9.95</v>
      </c>
      <c r="J195" s="62">
        <f>IFERROR(__xludf.DUMMYFUNCTION("""COMPUTED_VALUE"""),0.00101)</f>
        <v>0.00101</v>
      </c>
      <c r="K195" s="59">
        <f>IFERROR(__xludf.DUMMYFUNCTION("""COMPUTED_VALUE"""),10.1837)</f>
        <v>10.1837</v>
      </c>
      <c r="L195" s="63">
        <f>IFERROR(__xludf.DUMMYFUNCTION("""COMPUTED_VALUE"""),1.1399)</f>
        <v>1.1399</v>
      </c>
      <c r="M195" s="64" t="str">
        <f>IFERROR(__xludf.DUMMYFUNCTION("""COMPUTED_VALUE"""),"U: [1/3 W]; W: [1:1, $11.5]")</f>
        <v>U: [1/3 W]; W: [1:1, $11.5]</v>
      </c>
      <c r="N195" s="65" t="str">
        <f>IFERROR(__xludf.DUMMYFUNCTION("""COMPUTED_VALUE"""),"")</f>
        <v/>
      </c>
      <c r="O195" s="66">
        <f>IFERROR(__xludf.DUMMYFUNCTION("""COMPUTED_VALUE"""),0.0)</f>
        <v>0</v>
      </c>
      <c r="P195" s="67">
        <f>IFERROR(__xludf.DUMMYFUNCTION("""COMPUTED_VALUE"""),44125.0)</f>
        <v>44125</v>
      </c>
      <c r="Q195" s="68">
        <f>IFERROR(__xludf.DUMMYFUNCTION("""COMPUTED_VALUE"""),259.169)</f>
        <v>259.169</v>
      </c>
      <c r="R195" s="69" t="str">
        <f>IFERROR(__xludf.DUMMYFUNCTION("""COMPUTED_VALUE"""),"Morgan Stanley, Deutsche Bank")</f>
        <v>Morgan Stanley, Deutsche Bank</v>
      </c>
      <c r="S195" s="64">
        <f>IFERROR(__xludf.DUMMYFUNCTION("""COMPUTED_VALUE"""),44855.0)</f>
        <v>44855</v>
      </c>
      <c r="T195" s="70">
        <f>IFERROR(__xludf.DUMMYFUNCTION("""COMPUTED_VALUE"""),0.23424657534246576)</f>
        <v>0.2342465753</v>
      </c>
      <c r="U195" s="71" t="str">
        <f>IFERROR(__xludf.DUMMYFUNCTION("""COMPUTED_VALUE"""),"https://www.sec.gov/cgi-bin/browse-edgar?CIK=1824577")</f>
        <v>https://www.sec.gov/cgi-bin/browse-edgar?CIK=1824577</v>
      </c>
      <c r="V195" s="72" t="str">
        <f>IFERROR(__xludf.DUMMYFUNCTION("""COMPUTED_VALUE""")," Trading Below $10 (Common)          Top Tier UW ")</f>
        <v> Trading Below $10 (Common)          Top Tier UW </v>
      </c>
      <c r="W195" s="73">
        <f>IFERROR(__xludf.DUMMYFUNCTION("""COMPUTED_VALUE"""),44267.0)</f>
        <v>44267</v>
      </c>
      <c r="X195" s="79">
        <f>IFERROR(__xludf.DUMMYFUNCTION("""COMPUTED_VALUE"""),4.733333333333333)</f>
        <v>4.733333333</v>
      </c>
      <c r="Y195" s="80" t="str">
        <f>IFERROR(__xludf.DUMMYFUNCTION("""COMPUTED_VALUE"""),"https://www.businesswire.com/news/home/20210312005498/en/KORE-to-List-on-NYSE-through-Merger-with-Cerberus-Telecom-Acquisition-Corp.")</f>
        <v>https://www.businesswire.com/news/home/20210312005498/en/KORE-to-List-on-NYSE-through-Merger-with-Cerberus-Telecom-Acquisition-Corp.</v>
      </c>
      <c r="Z195" s="81" t="str">
        <f>IFERROR(__xludf.DUMMYFUNCTION("""COMPUTED_VALUE"""),"https://www.sec.gov/Archives/edgar/data/1824577/000119312521079862/d153292dex992.htm")</f>
        <v>https://www.sec.gov/Archives/edgar/data/1824577/000119312521079862/d153292dex992.htm</v>
      </c>
      <c r="AA195" s="60">
        <f>IFERROR(__xludf.DUMMYFUNCTION("""COMPUTED_VALUE"""),2.25E8)</f>
        <v>225000000</v>
      </c>
      <c r="AB195" s="60">
        <f>IFERROR(__xludf.DUMMYFUNCTION("""COMPUTED_VALUE"""),9.03E8)</f>
        <v>903000000</v>
      </c>
      <c r="AC195" s="60">
        <f>IFERROR(__xludf.DUMMYFUNCTION("""COMPUTED_VALUE"""),1.014E9)</f>
        <v>1014000000</v>
      </c>
      <c r="AD195" s="73"/>
      <c r="AE195" s="73"/>
      <c r="AF195" s="76">
        <f>IFERROR(__xludf.DUMMYFUNCTION("""COMPUTED_VALUE"""),9.03E7)</f>
        <v>90300000</v>
      </c>
      <c r="AG195" s="60">
        <f>IFERROR(__xludf.DUMMYFUNCTION("""COMPUTED_VALUE"""),8.984849999999999E8)</f>
        <v>898485000</v>
      </c>
    </row>
    <row r="196">
      <c r="A196" s="54" t="str">
        <f>IFERROR(__xludf.DUMMYFUNCTION("""COMPUTED_VALUE"""),"CTAQ")</f>
        <v>CTAQ</v>
      </c>
      <c r="B196" s="55" t="str">
        <f>IFERROR(__xludf.DUMMYFUNCTION("""COMPUTED_VALUE"""),"Carney Technology Acquisition Corp. II")</f>
        <v>Carney Technology Acquisition Corp. II</v>
      </c>
      <c r="C196" s="56" t="str">
        <f>IFERROR(__xludf.DUMMYFUNCTION("""COMPUTED_VALUE"""),"Searching")</f>
        <v>Searching</v>
      </c>
      <c r="D196" s="57" t="str">
        <f>IFERROR(__xludf.DUMMYFUNCTION("""COMPUTED_VALUE"""),"Tech")</f>
        <v>Tech</v>
      </c>
      <c r="E196" s="58"/>
      <c r="F196" s="59" t="str">
        <f>IFERROR(__xludf.DUMMYFUNCTION("""COMPUTED_VALUE"""),"Lloyd Carney (Director, Visa; Fmr CEO, ChaSerg Tech Acquisitions), Ret. Lt. General Robert Ferrell (Fmr CIO, US Army), Ellen O'Donnell (Fmr SVP/Chief Compliance, McAfee)")</f>
        <v>Lloyd Carney (Director, Visa; Fmr CEO, ChaSerg Tech Acquisitions), Ret. Lt. General Robert Ferrell (Fmr CIO, US Army), Ellen O'Donnell (Fmr SVP/Chief Compliance, McAfee)</v>
      </c>
      <c r="G196" s="60">
        <f>IFERROR(__xludf.DUMMYFUNCTION("""COMPUTED_VALUE"""),4.025E8)</f>
        <v>402500000</v>
      </c>
      <c r="H196" s="60">
        <f>IFERROR(__xludf.DUMMYFUNCTION("""COMPUTED_VALUE"""),4.0306425E8)</f>
        <v>403064250</v>
      </c>
      <c r="I196" s="61">
        <f>IFERROR(__xludf.DUMMYFUNCTION("""COMPUTED_VALUE"""),9.795)</f>
        <v>9.795</v>
      </c>
      <c r="J196" s="62">
        <f>IFERROR(__xludf.DUMMYFUNCTION("""COMPUTED_VALUE"""),-5.1E-4)</f>
        <v>-0.00051</v>
      </c>
      <c r="K196" s="59">
        <f>IFERROR(__xludf.DUMMYFUNCTION("""COMPUTED_VALUE"""),10.06)</f>
        <v>10.06</v>
      </c>
      <c r="L196" s="63">
        <f>IFERROR(__xludf.DUMMYFUNCTION("""COMPUTED_VALUE"""),0.98)</f>
        <v>0.98</v>
      </c>
      <c r="M196" s="64" t="str">
        <f>IFERROR(__xludf.DUMMYFUNCTION("""COMPUTED_VALUE"""),"U: [1/3 W]; W: [1:1, $11.5]")</f>
        <v>U: [1/3 W]; W: [1:1, $11.5]</v>
      </c>
      <c r="N196" s="65" t="str">
        <f>IFERROR(__xludf.DUMMYFUNCTION("""COMPUTED_VALUE"""),"")</f>
        <v/>
      </c>
      <c r="O196" s="66">
        <f>IFERROR(__xludf.DUMMYFUNCTION("""COMPUTED_VALUE"""),0.0)</f>
        <v>0</v>
      </c>
      <c r="P196" s="67">
        <f>IFERROR(__xludf.DUMMYFUNCTION("""COMPUTED_VALUE"""),44174.0)</f>
        <v>44174</v>
      </c>
      <c r="Q196" s="68">
        <f>IFERROR(__xludf.DUMMYFUNCTION("""COMPUTED_VALUE"""),402.5)</f>
        <v>402.5</v>
      </c>
      <c r="R196" s="69" t="str">
        <f>IFERROR(__xludf.DUMMYFUNCTION("""COMPUTED_VALUE"""),"Morgan Stanley, Cantor, Mizuho")</f>
        <v>Morgan Stanley, Cantor, Mizuho</v>
      </c>
      <c r="S196" s="64">
        <f>IFERROR(__xludf.DUMMYFUNCTION("""COMPUTED_VALUE"""),44904.0)</f>
        <v>44904</v>
      </c>
      <c r="T196" s="70">
        <f>IFERROR(__xludf.DUMMYFUNCTION("""COMPUTED_VALUE"""),0.16712328767123288)</f>
        <v>0.1671232877</v>
      </c>
      <c r="U196" s="71" t="str">
        <f>IFERROR(__xludf.DUMMYFUNCTION("""COMPUTED_VALUE"""),"https://www.sec.gov/cgi-bin/browse-edgar?CIK=1823634")</f>
        <v>https://www.sec.gov/cgi-bin/browse-edgar?CIK=1823634</v>
      </c>
      <c r="V196" s="72" t="str">
        <f>IFERROR(__xludf.DUMMYFUNCTION("""COMPUTED_VALUE""")," Trading Below $10 (Common)          Top Tier UW ")</f>
        <v> Trading Below $10 (Common)          Top Tier UW </v>
      </c>
      <c r="W196" s="73"/>
      <c r="X196" s="74"/>
      <c r="Y196" s="75"/>
      <c r="Z196" s="60"/>
      <c r="AA196" s="60"/>
      <c r="AB196" s="60"/>
      <c r="AC196" s="60"/>
      <c r="AD196" s="73"/>
      <c r="AE196" s="73"/>
      <c r="AF196" s="76"/>
      <c r="AG196" s="60" t="str">
        <f>IFERROR(__xludf.DUMMYFUNCTION("""COMPUTED_VALUE"""),"")</f>
        <v/>
      </c>
    </row>
    <row r="197">
      <c r="A197" s="54" t="str">
        <f>IFERROR(__xludf.DUMMYFUNCTION("""COMPUTED_VALUE"""),"CTII")</f>
        <v>CTII</v>
      </c>
      <c r="B197" s="55" t="str">
        <f>IFERROR(__xludf.DUMMYFUNCTION("""COMPUTED_VALUE"""),"Cerberus Telecom Acquisition Corp. II")</f>
        <v>Cerberus Telecom Acquisition Corp. II</v>
      </c>
      <c r="C197" s="56" t="str">
        <f>IFERROR(__xludf.DUMMYFUNCTION("""COMPUTED_VALUE"""),"Pre IPO")</f>
        <v>Pre IPO</v>
      </c>
      <c r="D197" s="57"/>
      <c r="E197" s="58"/>
      <c r="F197" s="59" t="str">
        <f>IFERROR(__xludf.DUMMYFUNCTION("""COMPUTED_VALUE"""),"Stephen Feinberg (Founder &amp; Co-CEO of Cerberus Capital Management), Frank Bruno (Co-CEO of Cerberus), Timothy Donahue (Former CEO of Nextel Communications, Former Executive Chairman of Sprint Nextel, and Former Director of ADT and Eastman Kodak), Dr. Hoss"&amp;"ein Moiin (Former Chief Technology, Innovation, and Strategy Officer for Nokia Mobile Networks)")</f>
        <v>Stephen Feinberg (Founder &amp; Co-CEO of Cerberus Capital Management), Frank Bruno (Co-CEO of Cerberus), Timothy Donahue (Former CEO of Nextel Communications, Former Executive Chairman of Sprint Nextel, and Former Director of ADT and Eastman Kodak), Dr. Hossein Moiin (Former Chief Technology, Innovation, and Strategy Officer for Nokia Mobile Networks)</v>
      </c>
      <c r="G197" s="60">
        <f>IFERROR(__xludf.DUMMYFUNCTION("""COMPUTED_VALUE"""),5.0E8)</f>
        <v>500000000</v>
      </c>
      <c r="H197" s="60" t="str">
        <f>IFERROR(__xludf.DUMMYFUNCTION("""COMPUTED_VALUE""")," ")</f>
        <v> </v>
      </c>
      <c r="I197" s="61" t="str">
        <f>IFERROR(__xludf.DUMMYFUNCTION("""COMPUTED_VALUE""")," ")</f>
        <v> </v>
      </c>
      <c r="J197" s="62" t="str">
        <f>IFERROR(__xludf.DUMMYFUNCTION("""COMPUTED_VALUE""")," ")</f>
        <v> </v>
      </c>
      <c r="K197" s="59" t="str">
        <f>IFERROR(__xludf.DUMMYFUNCTION("""COMPUTED_VALUE""")," ")</f>
        <v> </v>
      </c>
      <c r="L197" s="63" t="str">
        <f>IFERROR(__xludf.DUMMYFUNCTION("""COMPUTED_VALUE""")," ")</f>
        <v> </v>
      </c>
      <c r="M197" s="64" t="str">
        <f>IFERROR(__xludf.DUMMYFUNCTION("""COMPUTED_VALUE"""),"U: [1/4 W]; W: [1:1, $11.5]")</f>
        <v>U: [1/4 W]; W: [1:1, $11.5]</v>
      </c>
      <c r="N197" s="65" t="str">
        <f>IFERROR(__xludf.DUMMYFUNCTION("""COMPUTED_VALUE"""),"")</f>
        <v/>
      </c>
      <c r="O197" s="66">
        <f>IFERROR(__xludf.DUMMYFUNCTION("""COMPUTED_VALUE"""),0.0)</f>
        <v>0</v>
      </c>
      <c r="P197" s="67"/>
      <c r="Q197" s="68">
        <f>IFERROR(__xludf.DUMMYFUNCTION("""COMPUTED_VALUE"""),500.0)</f>
        <v>500</v>
      </c>
      <c r="R197" s="69" t="str">
        <f>IFERROR(__xludf.DUMMYFUNCTION("""COMPUTED_VALUE"""),"Deutsche Bank Securities")</f>
        <v>Deutsche Bank Securities</v>
      </c>
      <c r="S197" s="64">
        <f>IFERROR(__xludf.DUMMYFUNCTION("""COMPUTED_VALUE"""),45086.0)</f>
        <v>45086</v>
      </c>
      <c r="T197" s="70" t="str">
        <f>IFERROR(__xludf.DUMMYFUNCTION("""COMPUTED_VALUE"""),"")</f>
        <v/>
      </c>
      <c r="U197" s="71" t="str">
        <f>IFERROR(__xludf.DUMMYFUNCTION("""COMPUTED_VALUE"""),"https://www.sec.gov/cgi-bin/browse-edgar?CIK=1844513")</f>
        <v>https://www.sec.gov/cgi-bin/browse-edgar?CIK=1844513</v>
      </c>
      <c r="V197" s="72" t="str">
        <f>IFERROR(__xludf.DUMMYFUNCTION("""COMPUTED_VALUE"""),"   $500M+ Trust     Well-known Sponsor   ")</f>
        <v>   $500M+ Trust     Well-known Sponsor   </v>
      </c>
      <c r="W197" s="73"/>
      <c r="X197" s="74"/>
      <c r="Y197" s="75"/>
      <c r="Z197" s="60"/>
      <c r="AA197" s="60"/>
      <c r="AB197" s="60"/>
      <c r="AC197" s="60"/>
      <c r="AD197" s="73"/>
      <c r="AE197" s="73"/>
      <c r="AF197" s="76"/>
      <c r="AG197" s="60"/>
    </row>
    <row r="198">
      <c r="A198" s="54" t="str">
        <f>IFERROR(__xludf.DUMMYFUNCTION("""COMPUTED_VALUE"""),"CVII")</f>
        <v>CVII</v>
      </c>
      <c r="B198" s="55" t="str">
        <f>IFERROR(__xludf.DUMMYFUNCTION("""COMPUTED_VALUE"""),"Churchill Capital Corp VII")</f>
        <v>Churchill Capital Corp VII</v>
      </c>
      <c r="C198" s="56" t="str">
        <f>IFERROR(__xludf.DUMMYFUNCTION("""COMPUTED_VALUE"""),"Searching")</f>
        <v>Searching</v>
      </c>
      <c r="D198" s="57"/>
      <c r="E198" s="58"/>
      <c r="F198" s="59" t="str">
        <f>IFERROR(__xludf.DUMMYFUNCTION("""COMPUTED_VALUE"""),"Michael Klein (Former Co-CEO of Citigroup Markets and Banking)")</f>
        <v>Michael Klein (Former Co-CEO of Citigroup Markets and Banking)</v>
      </c>
      <c r="G198" s="60">
        <f>IFERROR(__xludf.DUMMYFUNCTION("""COMPUTED_VALUE"""),1.38E9)</f>
        <v>1380000000</v>
      </c>
      <c r="H198" s="60"/>
      <c r="I198" s="61">
        <f>IFERROR(__xludf.DUMMYFUNCTION("""COMPUTED_VALUE"""),9.88)</f>
        <v>9.88</v>
      </c>
      <c r="J198" s="62">
        <f>IFERROR(__xludf.DUMMYFUNCTION("""COMPUTED_VALUE"""),-0.00303)</f>
        <v>-0.00303</v>
      </c>
      <c r="K198" s="59">
        <f>IFERROR(__xludf.DUMMYFUNCTION("""COMPUTED_VALUE"""),10.15)</f>
        <v>10.15</v>
      </c>
      <c r="L198" s="63">
        <f>IFERROR(__xludf.DUMMYFUNCTION("""COMPUTED_VALUE"""),1.4)</f>
        <v>1.4</v>
      </c>
      <c r="M198" s="64" t="str">
        <f>IFERROR(__xludf.DUMMYFUNCTION("""COMPUTED_VALUE"""),"U: [1/5 W]; W: [1:1, $11.5]")</f>
        <v>U: [1/5 W]; W: [1:1, $11.5]</v>
      </c>
      <c r="N198" s="65" t="str">
        <f>IFERROR(__xludf.DUMMYFUNCTION("""COMPUTED_VALUE"""),"")</f>
        <v/>
      </c>
      <c r="O198" s="66">
        <f>IFERROR(__xludf.DUMMYFUNCTION("""COMPUTED_VALUE"""),0.0)</f>
        <v>0</v>
      </c>
      <c r="P198" s="67">
        <f>IFERROR(__xludf.DUMMYFUNCTION("""COMPUTED_VALUE"""),44239.0)</f>
        <v>44239</v>
      </c>
      <c r="Q198" s="68">
        <f>IFERROR(__xludf.DUMMYFUNCTION("""COMPUTED_VALUE"""),1380.0)</f>
        <v>1380</v>
      </c>
      <c r="R198" s="69" t="str">
        <f>IFERROR(__xludf.DUMMYFUNCTION("""COMPUTED_VALUE"""),"JP Morgan, Citigroup, Goldman Sachs, BofA Securities")</f>
        <v>JP Morgan, Citigroup, Goldman Sachs, BofA Securities</v>
      </c>
      <c r="S198" s="64">
        <f>IFERROR(__xludf.DUMMYFUNCTION("""COMPUTED_VALUE"""),44969.0)</f>
        <v>44969</v>
      </c>
      <c r="T198" s="70">
        <f>IFERROR(__xludf.DUMMYFUNCTION("""COMPUTED_VALUE"""),0.07808219178082192)</f>
        <v>0.07808219178</v>
      </c>
      <c r="U198" s="71" t="str">
        <f>IFERROR(__xludf.DUMMYFUNCTION("""COMPUTED_VALUE"""),"https://www.sec.gov/cgi-bin/browse-edgar?CIK=1828248")</f>
        <v>https://www.sec.gov/cgi-bin/browse-edgar?CIK=1828248</v>
      </c>
      <c r="V198" s="72" t="str">
        <f>IFERROR(__xludf.DUMMYFUNCTION("""COMPUTED_VALUE""")," Trading Below $10 (Common)  $500M+ Trust     Well-known Sponsor Serial Sponsor Top Tier UW Recent Split")</f>
        <v> Trading Below $10 (Common)  $500M+ Trust     Well-known Sponsor Serial Sponsor Top Tier UW Recent Split</v>
      </c>
      <c r="W198" s="73"/>
      <c r="X198" s="74"/>
      <c r="Y198" s="75"/>
      <c r="Z198" s="60"/>
      <c r="AA198" s="60"/>
      <c r="AB198" s="60"/>
      <c r="AC198" s="60"/>
      <c r="AD198" s="73"/>
      <c r="AE198" s="73"/>
      <c r="AF198" s="76"/>
      <c r="AG198" s="60" t="str">
        <f>IFERROR(__xludf.DUMMYFUNCTION("""COMPUTED_VALUE"""),"")</f>
        <v/>
      </c>
    </row>
    <row r="199">
      <c r="A199" s="54" t="str">
        <f>IFERROR(__xludf.DUMMYFUNCTION("""COMPUTED_VALUE"""),"DBDR")</f>
        <v>DBDR</v>
      </c>
      <c r="B199" s="55" t="str">
        <f>IFERROR(__xludf.DUMMYFUNCTION("""COMPUTED_VALUE"""),"Roman DBDR Tech Acquisition Corp.")</f>
        <v>Roman DBDR Tech Acquisition Corp.</v>
      </c>
      <c r="C199" s="56" t="str">
        <f>IFERROR(__xludf.DUMMYFUNCTION("""COMPUTED_VALUE"""),"Searching")</f>
        <v>Searching</v>
      </c>
      <c r="D199" s="57" t="str">
        <f>IFERROR(__xludf.DUMMYFUNCTION("""COMPUTED_VALUE"""),"TMT (Tech, Media, Telecom)")</f>
        <v>TMT (Tech, Media, Telecom)</v>
      </c>
      <c r="E199" s="58"/>
      <c r="F199" s="59" t="str">
        <f>IFERROR(__xludf.DUMMYFUNCTION("""COMPUTED_VALUE"""),"Dixon Doll Jr. (CEO/Chairman, DBM Cloud Systems), Dixon Doll (Fmr Director, DirecTV)")</f>
        <v>Dixon Doll Jr. (CEO/Chairman, DBM Cloud Systems), Dixon Doll (Fmr Director, DirecTV)</v>
      </c>
      <c r="G199" s="60">
        <f>IFERROR(__xludf.DUMMYFUNCTION("""COMPUTED_VALUE"""),2.36215089E8)</f>
        <v>236215089</v>
      </c>
      <c r="H199" s="60">
        <f>IFERROR(__xludf.DUMMYFUNCTION("""COMPUTED_VALUE"""),2.304022E8)</f>
        <v>230402200</v>
      </c>
      <c r="I199" s="61">
        <f>IFERROR(__xludf.DUMMYFUNCTION("""COMPUTED_VALUE"""),9.95)</f>
        <v>9.95</v>
      </c>
      <c r="J199" s="62">
        <f>IFERROR(__xludf.DUMMYFUNCTION("""COMPUTED_VALUE"""),-0.00201)</f>
        <v>-0.00201</v>
      </c>
      <c r="K199" s="59">
        <f>IFERROR(__xludf.DUMMYFUNCTION("""COMPUTED_VALUE"""),10.26)</f>
        <v>10.26</v>
      </c>
      <c r="L199" s="63">
        <f>IFERROR(__xludf.DUMMYFUNCTION("""COMPUTED_VALUE"""),0.7999)</f>
        <v>0.7999</v>
      </c>
      <c r="M199" s="64" t="str">
        <f>IFERROR(__xludf.DUMMYFUNCTION("""COMPUTED_VALUE"""),"U: [1/2 W]; W: [1:1, $11.5]")</f>
        <v>U: [1/2 W]; W: [1:1, $11.5]</v>
      </c>
      <c r="N199" s="65" t="str">
        <f>IFERROR(__xludf.DUMMYFUNCTION("""COMPUTED_VALUE"""),"")</f>
        <v/>
      </c>
      <c r="O199" s="66">
        <f>IFERROR(__xludf.DUMMYFUNCTION("""COMPUTED_VALUE"""),0.0)</f>
        <v>0</v>
      </c>
      <c r="P199" s="67">
        <f>IFERROR(__xludf.DUMMYFUNCTION("""COMPUTED_VALUE"""),44141.0)</f>
        <v>44141</v>
      </c>
      <c r="Q199" s="68">
        <f>IFERROR(__xludf.DUMMYFUNCTION("""COMPUTED_VALUE"""),236.1912)</f>
        <v>236.1912</v>
      </c>
      <c r="R199" s="69" t="str">
        <f>IFERROR(__xludf.DUMMYFUNCTION("""COMPUTED_VALUE"""),"B. Riley")</f>
        <v>B. Riley</v>
      </c>
      <c r="S199" s="64">
        <f>IFERROR(__xludf.DUMMYFUNCTION("""COMPUTED_VALUE"""),44871.0)</f>
        <v>44871</v>
      </c>
      <c r="T199" s="70">
        <f>IFERROR(__xludf.DUMMYFUNCTION("""COMPUTED_VALUE"""),0.21232876712328766)</f>
        <v>0.2123287671</v>
      </c>
      <c r="U199" s="71" t="str">
        <f>IFERROR(__xludf.DUMMYFUNCTION("""COMPUTED_VALUE"""),"https://www.sec.gov/cgi-bin/browse-edgar?CIK=1823144")</f>
        <v>https://www.sec.gov/cgi-bin/browse-edgar?CIK=1823144</v>
      </c>
      <c r="V199" s="72" t="str">
        <f>IFERROR(__xludf.DUMMYFUNCTION("""COMPUTED_VALUE""")," Trading Below $10 (Common)        Well-known Sponsor   ")</f>
        <v> Trading Below $10 (Common)        Well-known Sponsor   </v>
      </c>
      <c r="W199" s="73"/>
      <c r="X199" s="74"/>
      <c r="Y199" s="75"/>
      <c r="Z199" s="60"/>
      <c r="AA199" s="60"/>
      <c r="AB199" s="60"/>
      <c r="AC199" s="60"/>
      <c r="AD199" s="73"/>
      <c r="AE199" s="73"/>
      <c r="AF199" s="76"/>
      <c r="AG199" s="60" t="str">
        <f>IFERROR(__xludf.DUMMYFUNCTION("""COMPUTED_VALUE"""),"")</f>
        <v/>
      </c>
    </row>
    <row r="200">
      <c r="A200" s="54" t="str">
        <f>IFERROR(__xludf.DUMMYFUNCTION("""COMPUTED_VALUE"""),"DCRB")</f>
        <v>DCRB</v>
      </c>
      <c r="B200" s="55" t="str">
        <f>IFERROR(__xludf.DUMMYFUNCTION("""COMPUTED_VALUE"""),"Decarbonization Plus Acquisition Corporation")</f>
        <v>Decarbonization Plus Acquisition Corporation</v>
      </c>
      <c r="C200" s="56" t="str">
        <f>IFERROR(__xludf.DUMMYFUNCTION("""COMPUTED_VALUE"""),"Definitive Agreement")</f>
        <v>Definitive Agreement</v>
      </c>
      <c r="D200" s="57" t="str">
        <f>IFERROR(__xludf.DUMMYFUNCTION("""COMPUTED_VALUE"""),"Global decarbonization (incl. energy, agriculture, industrials, transportation, commercial, residential")</f>
        <v>Global decarbonization (incl. energy, agriculture, industrials, transportation, commercial, residential</v>
      </c>
      <c r="E200" s="58" t="str">
        <f>IFERROR(__xludf.DUMMYFUNCTION("""COMPUTED_VALUE"""),"Hyzon Motors [DA: 02/09/21]")</f>
        <v>Hyzon Motors [DA: 02/09/21]</v>
      </c>
      <c r="F200" s="59" t="str">
        <f>IFERROR(__xludf.DUMMYFUNCTION("""COMPUTED_VALUE"""),"Erik Anderson (Founder, WestRiver Group; Exec Chairman, Topgolf); Dr. Jennifer Aaker (Author, ""Dragonfly Effect""); Pierre Lapeyre, Jr (Co-founder/Sr Managing Director, Riverstone Holdings); Jim McDermott (Founder, Stamps.com)")</f>
        <v>Erik Anderson (Founder, WestRiver Group; Exec Chairman, Topgolf); Dr. Jennifer Aaker (Author, "Dragonfly Effect"); Pierre Lapeyre, Jr (Co-founder/Sr Managing Director, Riverstone Holdings); Jim McDermott (Founder, Stamps.com)</v>
      </c>
      <c r="G200" s="60">
        <f>IFERROR(__xludf.DUMMYFUNCTION("""COMPUTED_VALUE"""),2.0E8)</f>
        <v>200000000</v>
      </c>
      <c r="H200" s="60">
        <f>IFERROR(__xludf.DUMMYFUNCTION("""COMPUTED_VALUE"""),2.40171421E8)</f>
        <v>240171421</v>
      </c>
      <c r="I200" s="61">
        <f>IFERROR(__xludf.DUMMYFUNCTION("""COMPUTED_VALUE"""),10.64)</f>
        <v>10.64</v>
      </c>
      <c r="J200" s="62">
        <f>IFERROR(__xludf.DUMMYFUNCTION("""COMPUTED_VALUE"""),0.00377)</f>
        <v>0.00377</v>
      </c>
      <c r="K200" s="59">
        <f>IFERROR(__xludf.DUMMYFUNCTION("""COMPUTED_VALUE"""),11.55)</f>
        <v>11.55</v>
      </c>
      <c r="L200" s="63">
        <f>IFERROR(__xludf.DUMMYFUNCTION("""COMPUTED_VALUE"""),2.115)</f>
        <v>2.115</v>
      </c>
      <c r="M200" s="64" t="str">
        <f>IFERROR(__xludf.DUMMYFUNCTION("""COMPUTED_VALUE"""),"U: [1/3 W]; W: [1:1, $11.5]")</f>
        <v>U: [1/3 W]; W: [1:1, $11.5]</v>
      </c>
      <c r="N200" s="65" t="str">
        <f>IFERROR(__xludf.DUMMYFUNCTION("""COMPUTED_VALUE"""),"")</f>
        <v/>
      </c>
      <c r="O200" s="66">
        <f>IFERROR(__xludf.DUMMYFUNCTION("""COMPUTED_VALUE"""),0.0)</f>
        <v>0</v>
      </c>
      <c r="P200" s="67">
        <f>IFERROR(__xludf.DUMMYFUNCTION("""COMPUTED_VALUE"""),44123.0)</f>
        <v>44123</v>
      </c>
      <c r="Q200" s="68">
        <f>IFERROR(__xludf.DUMMYFUNCTION("""COMPUTED_VALUE"""),200.0)</f>
        <v>200</v>
      </c>
      <c r="R200" s="69" t="str">
        <f>IFERROR(__xludf.DUMMYFUNCTION("""COMPUTED_VALUE"""),"Citigroup, Credit Suisse")</f>
        <v>Citigroup, Credit Suisse</v>
      </c>
      <c r="S200" s="64">
        <f>IFERROR(__xludf.DUMMYFUNCTION("""COMPUTED_VALUE"""),44853.0)</f>
        <v>44853</v>
      </c>
      <c r="T200" s="70">
        <f>IFERROR(__xludf.DUMMYFUNCTION("""COMPUTED_VALUE"""),0.236986301369863)</f>
        <v>0.2369863014</v>
      </c>
      <c r="U200" s="71" t="str">
        <f>IFERROR(__xludf.DUMMYFUNCTION("""COMPUTED_VALUE"""),"https://www.sec.gov/cgi-bin/browse-edgar?CIK=1716583")</f>
        <v>https://www.sec.gov/cgi-bin/browse-edgar?CIK=1716583</v>
      </c>
      <c r="V200" s="72" t="str">
        <f>IFERROR(__xludf.DUMMYFUNCTION("""COMPUTED_VALUE"""),"Sustainability, E.V.     Optionable     Serial Sponsor Top Tier UW ")</f>
        <v>Sustainability, E.V.     Optionable     Serial Sponsor Top Tier UW </v>
      </c>
      <c r="W200" s="73">
        <f>IFERROR(__xludf.DUMMYFUNCTION("""COMPUTED_VALUE"""),44236.0)</f>
        <v>44236</v>
      </c>
      <c r="X200" s="79">
        <f>IFERROR(__xludf.DUMMYFUNCTION("""COMPUTED_VALUE"""),3.7666666666666666)</f>
        <v>3.766666667</v>
      </c>
      <c r="Y200" s="80" t="str">
        <f>IFERROR(__xludf.DUMMYFUNCTION("""COMPUTED_VALUE"""),"https://www.prnewswire.com/news-releases/hyzon-motors-the-leading-hydrogen-fuel-cell-heavy-vehicle-company-announces-business-combination-with-decarbonization-plus-acquisition-corporation-combined-company-expected-to-be-listed-on-nasdaq-301224741.html")</f>
        <v>https://www.prnewswire.com/news-releases/hyzon-motors-the-leading-hydrogen-fuel-cell-heavy-vehicle-company-announces-business-combination-with-decarbonization-plus-acquisition-corporation-combined-company-expected-to-be-listed-on-nasdaq-301224741.html</v>
      </c>
      <c r="Z200" s="81" t="str">
        <f>IFERROR(__xludf.DUMMYFUNCTION("""COMPUTED_VALUE"""),"https://www.sec.gov/Archives/edgar/data/1716583/000119312521033234/d109364dex993.htm")</f>
        <v>https://www.sec.gov/Archives/edgar/data/1716583/000119312521033234/d109364dex993.htm</v>
      </c>
      <c r="AA200" s="60">
        <f>IFERROR(__xludf.DUMMYFUNCTION("""COMPUTED_VALUE"""),4.0E8)</f>
        <v>400000000</v>
      </c>
      <c r="AB200" s="60">
        <f>IFERROR(__xludf.DUMMYFUNCTION("""COMPUTED_VALUE"""),2.682E9)</f>
        <v>2682000000</v>
      </c>
      <c r="AC200" s="60"/>
      <c r="AD200" s="73"/>
      <c r="AE200" s="73"/>
      <c r="AF200" s="76">
        <f>IFERROR(__xludf.DUMMYFUNCTION("""COMPUTED_VALUE"""),2.682E8)</f>
        <v>268200000</v>
      </c>
      <c r="AG200" s="60">
        <f>IFERROR(__xludf.DUMMYFUNCTION("""COMPUTED_VALUE"""),2.853648E9)</f>
        <v>2853648000</v>
      </c>
    </row>
    <row r="201">
      <c r="A201" s="54" t="str">
        <f>IFERROR(__xludf.DUMMYFUNCTION("""COMPUTED_VALUE"""),"DCRC")</f>
        <v>DCRC</v>
      </c>
      <c r="B201" s="55" t="str">
        <f>IFERROR(__xludf.DUMMYFUNCTION("""COMPUTED_VALUE"""),"Decarbonization Plus Acquisition Corp III")</f>
        <v>Decarbonization Plus Acquisition Corp III</v>
      </c>
      <c r="C201" s="56" t="str">
        <f>IFERROR(__xludf.DUMMYFUNCTION("""COMPUTED_VALUE"""),"Searching (Pre Unit Split)")</f>
        <v>Searching (Pre Unit Split)</v>
      </c>
      <c r="D201" s="77" t="str">
        <f>IFERROR(__xludf.DUMMYFUNCTION("""COMPUTED_VALUE"""),"Global decarbonization (incl. energy, agriculture, industrials, transportation, commercial, residential")</f>
        <v>Global decarbonization (incl. energy, agriculture, industrials, transportation, commercial, residential</v>
      </c>
      <c r="E201" s="58"/>
      <c r="F201" s="59" t="str">
        <f>IFERROR(__xludf.DUMMYFUNCTION("""COMPUTED_VALUE"""),"Erik Anderson (Founder, WestRiver Group; Exec Chairman, Topgolf); Dr. Jennifer Aaker (Author, ""Dragonfly Effect""); Pierre Lapeyre, Jr (Co-founder/Sr Managing Director, Riverstone Holdings); Jim McDermott (Founder, Stamps.com)")</f>
        <v>Erik Anderson (Founder, WestRiver Group; Exec Chairman, Topgolf); Dr. Jennifer Aaker (Author, "Dragonfly Effect"); Pierre Lapeyre, Jr (Co-founder/Sr Managing Director, Riverstone Holdings); Jim McDermott (Founder, Stamps.com)</v>
      </c>
      <c r="G201" s="60">
        <f>IFERROR(__xludf.DUMMYFUNCTION("""COMPUTED_VALUE"""),3.5E8)</f>
        <v>350000000</v>
      </c>
      <c r="H201" s="60" t="str">
        <f>IFERROR(__xludf.DUMMYFUNCTION("""COMPUTED_VALUE""")," ")</f>
        <v> </v>
      </c>
      <c r="I201" s="61" t="str">
        <f>IFERROR(__xludf.DUMMYFUNCTION("""COMPUTED_VALUE""")," ")</f>
        <v> </v>
      </c>
      <c r="J201" s="62" t="str">
        <f>IFERROR(__xludf.DUMMYFUNCTION("""COMPUTED_VALUE""")," ")</f>
        <v> </v>
      </c>
      <c r="K201" s="59">
        <f>IFERROR(__xludf.DUMMYFUNCTION("""COMPUTED_VALUE"""),10.08)</f>
        <v>10.08</v>
      </c>
      <c r="L201" s="63" t="str">
        <f>IFERROR(__xludf.DUMMYFUNCTION("""COMPUTED_VALUE""")," ")</f>
        <v> </v>
      </c>
      <c r="M201" s="64" t="str">
        <f>IFERROR(__xludf.DUMMYFUNCTION("""COMPUTED_VALUE"""),"U: [1/3 W]; W: [1:1, $11.5]")</f>
        <v>U: [1/3 W]; W: [1:1, $11.5]</v>
      </c>
      <c r="N201" s="65">
        <f>IFERROR(__xludf.DUMMYFUNCTION("""COMPUTED_VALUE"""),44330.0)</f>
        <v>44330</v>
      </c>
      <c r="O201" s="66" t="str">
        <f>IFERROR(__xludf.DUMMYFUNCTION("""COMPUTED_VALUE"""),"")</f>
        <v/>
      </c>
      <c r="P201" s="67">
        <f>IFERROR(__xludf.DUMMYFUNCTION("""COMPUTED_VALUE"""),44278.0)</f>
        <v>44278</v>
      </c>
      <c r="Q201" s="68">
        <f>IFERROR(__xludf.DUMMYFUNCTION("""COMPUTED_VALUE"""),350.0)</f>
        <v>350</v>
      </c>
      <c r="R201" s="69" t="str">
        <f>IFERROR(__xludf.DUMMYFUNCTION("""COMPUTED_VALUE"""),"Credit Suisse, Citigroup")</f>
        <v>Credit Suisse, Citigroup</v>
      </c>
      <c r="S201" s="64">
        <f>IFERROR(__xludf.DUMMYFUNCTION("""COMPUTED_VALUE"""),45008.0)</f>
        <v>45008</v>
      </c>
      <c r="T201" s="70">
        <f>IFERROR(__xludf.DUMMYFUNCTION("""COMPUTED_VALUE"""),0.024657534246575342)</f>
        <v>0.02465753425</v>
      </c>
      <c r="U201" s="71" t="str">
        <f>IFERROR(__xludf.DUMMYFUNCTION("""COMPUTED_VALUE"""),"https://www.sec.gov/cgi-bin/browse-edgar?CIK=1844862")</f>
        <v>https://www.sec.gov/cgi-bin/browse-edgar?CIK=1844862</v>
      </c>
      <c r="V201" s="72" t="str">
        <f>IFERROR(__xludf.DUMMYFUNCTION("""COMPUTED_VALUE"""),"Sustainability          Serial Sponsor Top Tier UW ")</f>
        <v>Sustainability          Serial Sponsor Top Tier UW </v>
      </c>
      <c r="W201" s="73"/>
      <c r="X201" s="74"/>
      <c r="Y201" s="75"/>
      <c r="Z201" s="60"/>
      <c r="AA201" s="60"/>
      <c r="AB201" s="60"/>
      <c r="AC201" s="60"/>
      <c r="AD201" s="73"/>
      <c r="AE201" s="73"/>
      <c r="AF201" s="76"/>
      <c r="AG201" s="60"/>
    </row>
    <row r="202">
      <c r="A202" s="54" t="str">
        <f>IFERROR(__xludf.DUMMYFUNCTION("""COMPUTED_VALUE"""),"DCRD")</f>
        <v>DCRD</v>
      </c>
      <c r="B202" s="55" t="str">
        <f>IFERROR(__xludf.DUMMYFUNCTION("""COMPUTED_VALUE"""),"Decarbonization Plus Acquisition Corp IV")</f>
        <v>Decarbonization Plus Acquisition Corp IV</v>
      </c>
      <c r="C202" s="56" t="str">
        <f>IFERROR(__xludf.DUMMYFUNCTION("""COMPUTED_VALUE"""),"Pre IPO")</f>
        <v>Pre IPO</v>
      </c>
      <c r="D202" s="57"/>
      <c r="E202" s="58"/>
      <c r="F202" s="59"/>
      <c r="G202" s="60">
        <f>IFERROR(__xludf.DUMMYFUNCTION("""COMPUTED_VALUE"""),3.5E8)</f>
        <v>350000000</v>
      </c>
      <c r="H202" s="60" t="str">
        <f>IFERROR(__xludf.DUMMYFUNCTION("""COMPUTED_VALUE""")," ")</f>
        <v> </v>
      </c>
      <c r="I202" s="61" t="str">
        <f>IFERROR(__xludf.DUMMYFUNCTION("""COMPUTED_VALUE""")," ")</f>
        <v> </v>
      </c>
      <c r="J202" s="62" t="str">
        <f>IFERROR(__xludf.DUMMYFUNCTION("""COMPUTED_VALUE""")," ")</f>
        <v> </v>
      </c>
      <c r="K202" s="59" t="str">
        <f>IFERROR(__xludf.DUMMYFUNCTION("""COMPUTED_VALUE""")," ")</f>
        <v> </v>
      </c>
      <c r="L202" s="63" t="str">
        <f>IFERROR(__xludf.DUMMYFUNCTION("""COMPUTED_VALUE""")," ")</f>
        <v> </v>
      </c>
      <c r="M202" s="64" t="str">
        <f>IFERROR(__xludf.DUMMYFUNCTION("""COMPUTED_VALUE"""),"U: [1/3 W]; W: [1:1, $11.5]")</f>
        <v>U: [1/3 W]; W: [1:1, $11.5]</v>
      </c>
      <c r="N202" s="65" t="str">
        <f>IFERROR(__xludf.DUMMYFUNCTION("""COMPUTED_VALUE"""),"")</f>
        <v/>
      </c>
      <c r="O202" s="66">
        <f>IFERROR(__xludf.DUMMYFUNCTION("""COMPUTED_VALUE"""),0.0)</f>
        <v>0</v>
      </c>
      <c r="P202" s="67"/>
      <c r="Q202" s="68">
        <f>IFERROR(__xludf.DUMMYFUNCTION("""COMPUTED_VALUE"""),350.0)</f>
        <v>350</v>
      </c>
      <c r="R202" s="85" t="str">
        <f>IFERROR(__xludf.DUMMYFUNCTION("""COMPUTED_VALUE"""),"Credit Suisse, Citigroup")</f>
        <v>Credit Suisse, Citigroup</v>
      </c>
      <c r="S202" s="64">
        <f>IFERROR(__xludf.DUMMYFUNCTION("""COMPUTED_VALUE"""),45086.0)</f>
        <v>45086</v>
      </c>
      <c r="T202" s="70" t="str">
        <f>IFERROR(__xludf.DUMMYFUNCTION("""COMPUTED_VALUE"""),"")</f>
        <v/>
      </c>
      <c r="U202" s="71" t="str">
        <f>IFERROR(__xludf.DUMMYFUNCTION("""COMPUTED_VALUE"""),"https://www.sec.gov/cgi-bin/browse-edgar?CIK=1848959")</f>
        <v>https://www.sec.gov/cgi-bin/browse-edgar?CIK=1848959</v>
      </c>
      <c r="V202" s="72" t="str">
        <f>IFERROR(__xludf.DUMMYFUNCTION("""COMPUTED_VALUE"""),"           Top Tier UW ")</f>
        <v>           Top Tier UW </v>
      </c>
      <c r="W202" s="73"/>
      <c r="X202" s="74"/>
      <c r="Y202" s="75"/>
      <c r="Z202" s="60"/>
      <c r="AA202" s="60"/>
      <c r="AB202" s="60"/>
      <c r="AC202" s="60"/>
      <c r="AD202" s="73"/>
      <c r="AE202" s="73"/>
      <c r="AF202" s="76"/>
      <c r="AG202" s="60"/>
    </row>
    <row r="203">
      <c r="A203" s="54" t="str">
        <f>IFERROR(__xludf.DUMMYFUNCTION("""COMPUTED_VALUE"""),"DCRN")</f>
        <v>DCRN</v>
      </c>
      <c r="B203" s="55" t="str">
        <f>IFERROR(__xludf.DUMMYFUNCTION("""COMPUTED_VALUE"""),"Decarbonization Plus Acquisition Corporation II")</f>
        <v>Decarbonization Plus Acquisition Corporation II</v>
      </c>
      <c r="C203" s="56" t="str">
        <f>IFERROR(__xludf.DUMMYFUNCTION("""COMPUTED_VALUE"""),"Searching")</f>
        <v>Searching</v>
      </c>
      <c r="D203" s="57" t="str">
        <f>IFERROR(__xludf.DUMMYFUNCTION("""COMPUTED_VALUE"""),"Global decarbonization (incl. energy, agriculture, industrials, transportation, commercial, residential")</f>
        <v>Global decarbonization (incl. energy, agriculture, industrials, transportation, commercial, residential</v>
      </c>
      <c r="E203" s="58"/>
      <c r="F203" s="59" t="str">
        <f>IFERROR(__xludf.DUMMYFUNCTION("""COMPUTED_VALUE"""),"Erik Anderson (Founder, WestRiver Group; Exec Chairman, Topgolf); Dr. Jennifer Aaker (Author, ""Dragonfly Effect""); Pierre Lapeyre, Jr (Co-founder/Sr Managing Director, Riverstone Holdings); Jim McDermott (Founder, Stamps.com)")</f>
        <v>Erik Anderson (Founder, WestRiver Group; Exec Chairman, Topgolf); Dr. Jennifer Aaker (Author, "Dragonfly Effect"); Pierre Lapeyre, Jr (Co-founder/Sr Managing Director, Riverstone Holdings); Jim McDermott (Founder, Stamps.com)</v>
      </c>
      <c r="G203" s="60">
        <f>IFERROR(__xludf.DUMMYFUNCTION("""COMPUTED_VALUE"""),3.5E8)</f>
        <v>350000000</v>
      </c>
      <c r="H203" s="60">
        <f>IFERROR(__xludf.DUMMYFUNCTION("""COMPUTED_VALUE"""),3.9928E8)</f>
        <v>399280000</v>
      </c>
      <c r="I203" s="61">
        <f>IFERROR(__xludf.DUMMYFUNCTION("""COMPUTED_VALUE"""),9.92)</f>
        <v>9.92</v>
      </c>
      <c r="J203" s="62"/>
      <c r="K203" s="59">
        <f>IFERROR(__xludf.DUMMYFUNCTION("""COMPUTED_VALUE"""),10.31)</f>
        <v>10.31</v>
      </c>
      <c r="L203" s="63">
        <f>IFERROR(__xludf.DUMMYFUNCTION("""COMPUTED_VALUE"""),1.31)</f>
        <v>1.31</v>
      </c>
      <c r="M203" s="64" t="str">
        <f>IFERROR(__xludf.DUMMYFUNCTION("""COMPUTED_VALUE"""),"U: [1/3 W]; W: [1:1, $11.5]")</f>
        <v>U: [1/3 W]; W: [1:1, $11.5]</v>
      </c>
      <c r="N203" s="65" t="str">
        <f>IFERROR(__xludf.DUMMYFUNCTION("""COMPUTED_VALUE"""),"")</f>
        <v/>
      </c>
      <c r="O203" s="66">
        <f>IFERROR(__xludf.DUMMYFUNCTION("""COMPUTED_VALUE"""),0.0)</f>
        <v>0</v>
      </c>
      <c r="P203" s="67">
        <f>IFERROR(__xludf.DUMMYFUNCTION("""COMPUTED_VALUE"""),44230.0)</f>
        <v>44230</v>
      </c>
      <c r="Q203" s="68">
        <f>IFERROR(__xludf.DUMMYFUNCTION("""COMPUTED_VALUE"""),350.0)</f>
        <v>350</v>
      </c>
      <c r="R203" s="69" t="str">
        <f>IFERROR(__xludf.DUMMYFUNCTION("""COMPUTED_VALUE"""),"Credit Suisse, Citigroup")</f>
        <v>Credit Suisse, Citigroup</v>
      </c>
      <c r="S203" s="64">
        <f>IFERROR(__xludf.DUMMYFUNCTION("""COMPUTED_VALUE"""),44960.0)</f>
        <v>44960</v>
      </c>
      <c r="T203" s="70">
        <f>IFERROR(__xludf.DUMMYFUNCTION("""COMPUTED_VALUE"""),0.09041095890410959)</f>
        <v>0.0904109589</v>
      </c>
      <c r="U203" s="71" t="str">
        <f>IFERROR(__xludf.DUMMYFUNCTION("""COMPUTED_VALUE"""),"https://www.sec.gov/cgi-bin/browse-edgar?CIK=1836154")</f>
        <v>https://www.sec.gov/cgi-bin/browse-edgar?CIK=1836154</v>
      </c>
      <c r="V203" s="72" t="str">
        <f>IFERROR(__xludf.DUMMYFUNCTION("""COMPUTED_VALUE"""),"Sustainability Trading Below $10 (Common)         Serial Sponsor Top Tier UW ")</f>
        <v>Sustainability Trading Below $10 (Common)         Serial Sponsor Top Tier UW </v>
      </c>
      <c r="W203" s="73"/>
      <c r="X203" s="74"/>
      <c r="Y203" s="75"/>
      <c r="Z203" s="60"/>
      <c r="AA203" s="60"/>
      <c r="AB203" s="60"/>
      <c r="AC203" s="60"/>
      <c r="AD203" s="73"/>
      <c r="AE203" s="73"/>
      <c r="AF203" s="76"/>
      <c r="AG203" s="60" t="str">
        <f>IFERROR(__xludf.DUMMYFUNCTION("""COMPUTED_VALUE"""),"")</f>
        <v/>
      </c>
    </row>
    <row r="204">
      <c r="A204" s="54" t="str">
        <f>IFERROR(__xludf.DUMMYFUNCTION("""COMPUTED_VALUE"""),"DDMX")</f>
        <v>DDMX</v>
      </c>
      <c r="B204" s="55" t="str">
        <f>IFERROR(__xludf.DUMMYFUNCTION("""COMPUTED_VALUE"""),"DD3 Acquisition Corp. II")</f>
        <v>DD3 Acquisition Corp. II</v>
      </c>
      <c r="C204" s="56" t="str">
        <f>IFERROR(__xludf.DUMMYFUNCTION("""COMPUTED_VALUE"""),"Searching")</f>
        <v>Searching</v>
      </c>
      <c r="D204" s="57" t="str">
        <f>IFERROR(__xludf.DUMMYFUNCTION("""COMPUTED_VALUE"""),"Mexico, Hispanic companies in US")</f>
        <v>Mexico, Hispanic companies in US</v>
      </c>
      <c r="E204" s="58"/>
      <c r="F204" s="59" t="str">
        <f>IFERROR(__xludf.DUMMYFUNCTION("""COMPUTED_VALUE"""),"Dr. Martin Werner (Chairman, DD3 Acq I; Director, Betterware)")</f>
        <v>Dr. Martin Werner (Chairman, DD3 Acq I; Director, Betterware)</v>
      </c>
      <c r="G204" s="60">
        <f>IFERROR(__xludf.DUMMYFUNCTION("""COMPUTED_VALUE"""),1.25E8)</f>
        <v>125000000</v>
      </c>
      <c r="H204" s="60">
        <f>IFERROR(__xludf.DUMMYFUNCTION("""COMPUTED_VALUE"""),1.287E8)</f>
        <v>128700000</v>
      </c>
      <c r="I204" s="61">
        <f>IFERROR(__xludf.DUMMYFUNCTION("""COMPUTED_VALUE"""),10.0)</f>
        <v>10</v>
      </c>
      <c r="J204" s="62">
        <f>IFERROR(__xludf.DUMMYFUNCTION("""COMPUTED_VALUE"""),0.002)</f>
        <v>0.002</v>
      </c>
      <c r="K204" s="59">
        <f>IFERROR(__xludf.DUMMYFUNCTION("""COMPUTED_VALUE"""),10.36)</f>
        <v>10.36</v>
      </c>
      <c r="L204" s="63">
        <f>IFERROR(__xludf.DUMMYFUNCTION("""COMPUTED_VALUE"""),1.15)</f>
        <v>1.15</v>
      </c>
      <c r="M204" s="64" t="str">
        <f>IFERROR(__xludf.DUMMYFUNCTION("""COMPUTED_VALUE"""),"U: [1/2 W]; W: [1:1, $11.5]")</f>
        <v>U: [1/2 W]; W: [1:1, $11.5]</v>
      </c>
      <c r="N204" s="65" t="str">
        <f>IFERROR(__xludf.DUMMYFUNCTION("""COMPUTED_VALUE"""),"")</f>
        <v/>
      </c>
      <c r="O204" s="66">
        <f>IFERROR(__xludf.DUMMYFUNCTION("""COMPUTED_VALUE"""),0.0)</f>
        <v>0</v>
      </c>
      <c r="P204" s="67">
        <f>IFERROR(__xludf.DUMMYFUNCTION("""COMPUTED_VALUE"""),44173.0)</f>
        <v>44173</v>
      </c>
      <c r="Q204" s="68">
        <f>IFERROR(__xludf.DUMMYFUNCTION("""COMPUTED_VALUE"""),125.0)</f>
        <v>125</v>
      </c>
      <c r="R204" s="85" t="str">
        <f>IFERROR(__xludf.DUMMYFUNCTION("""COMPUTED_VALUE"""),"EarlyBirdCapital")</f>
        <v>EarlyBirdCapital</v>
      </c>
      <c r="S204" s="64">
        <f>IFERROR(__xludf.DUMMYFUNCTION("""COMPUTED_VALUE"""),44903.0)</f>
        <v>44903</v>
      </c>
      <c r="T204" s="70">
        <f>IFERROR(__xludf.DUMMYFUNCTION("""COMPUTED_VALUE"""),0.1684931506849315)</f>
        <v>0.1684931507</v>
      </c>
      <c r="U204" s="71" t="str">
        <f>IFERROR(__xludf.DUMMYFUNCTION("""COMPUTED_VALUE"""),"https://www.sec.gov/cgi-bin/browse-edgar?CIK=1828957")</f>
        <v>https://www.sec.gov/cgi-bin/browse-edgar?CIK=1828957</v>
      </c>
      <c r="V204" s="72" t="str">
        <f>IFERROR(__xludf.DUMMYFUNCTION("""COMPUTED_VALUE""")," Trading Below $10 (Common)           ")</f>
        <v> Trading Below $10 (Common)           </v>
      </c>
      <c r="W204" s="73"/>
      <c r="X204" s="74"/>
      <c r="Y204" s="75"/>
      <c r="Z204" s="60"/>
      <c r="AA204" s="60"/>
      <c r="AB204" s="60"/>
      <c r="AC204" s="60"/>
      <c r="AD204" s="73"/>
      <c r="AE204" s="73"/>
      <c r="AF204" s="76"/>
      <c r="AG204" s="60" t="str">
        <f>IFERROR(__xludf.DUMMYFUNCTION("""COMPUTED_VALUE"""),"")</f>
        <v/>
      </c>
    </row>
    <row r="205">
      <c r="A205" s="54" t="str">
        <f>IFERROR(__xludf.DUMMYFUNCTION("""COMPUTED_VALUE"""),"DEH")</f>
        <v>DEH</v>
      </c>
      <c r="B205" s="55" t="str">
        <f>IFERROR(__xludf.DUMMYFUNCTION("""COMPUTED_VALUE"""),"D8 Holdings Corp")</f>
        <v>D8 Holdings Corp</v>
      </c>
      <c r="C205" s="56" t="str">
        <f>IFERROR(__xludf.DUMMYFUNCTION("""COMPUTED_VALUE"""),"Searching")</f>
        <v>Searching</v>
      </c>
      <c r="D205" s="57" t="str">
        <f>IFERROR(__xludf.DUMMYFUNCTION("""COMPUTED_VALUE"""),"Consumer")</f>
        <v>Consumer</v>
      </c>
      <c r="E205" s="58" t="str">
        <f>IFERROR(__xludf.DUMMYFUNCTION("""COMPUTED_VALUE"""),"[In talks (unconfirmed) with Vicarious Surgical: Per Bloomberg 3/24/21]")</f>
        <v>[In talks (unconfirmed) with Vicarious Surgical: Per Bloomberg 3/24/21]</v>
      </c>
      <c r="F205" s="59" t="str">
        <f>IFERROR(__xludf.DUMMYFUNCTION("""COMPUTED_VALUE"""),"Terry Lundgren (Former CEO of Macy’s and Neiman Marcus), Fred H. Langhammer (Former CEO of Estee Lauder), David Chu (Founder of Nautica), Michael Kives (Founder of K5 Global)")</f>
        <v>Terry Lundgren (Former CEO of Macy’s and Neiman Marcus), Fred H. Langhammer (Former CEO of Estee Lauder), David Chu (Founder of Nautica), Michael Kives (Founder of K5 Global)</v>
      </c>
      <c r="G205" s="60">
        <f>IFERROR(__xludf.DUMMYFUNCTION("""COMPUTED_VALUE"""),3.45091049E8)</f>
        <v>345091049</v>
      </c>
      <c r="H205" s="60">
        <f>IFERROR(__xludf.DUMMYFUNCTION("""COMPUTED_VALUE"""),3.4431E8)</f>
        <v>344310000</v>
      </c>
      <c r="I205" s="61">
        <f>IFERROR(__xludf.DUMMYFUNCTION("""COMPUTED_VALUE"""),9.98)</f>
        <v>9.98</v>
      </c>
      <c r="J205" s="62">
        <f>IFERROR(__xludf.DUMMYFUNCTION("""COMPUTED_VALUE"""),0.00402)</f>
        <v>0.00402</v>
      </c>
      <c r="K205" s="59">
        <f>IFERROR(__xludf.DUMMYFUNCTION("""COMPUTED_VALUE"""),10.6)</f>
        <v>10.6</v>
      </c>
      <c r="L205" s="63">
        <f>IFERROR(__xludf.DUMMYFUNCTION("""COMPUTED_VALUE"""),1.1699)</f>
        <v>1.1699</v>
      </c>
      <c r="M205" s="64" t="str">
        <f>IFERROR(__xludf.DUMMYFUNCTION("""COMPUTED_VALUE"""),"U: [1/2 W]; W: [1:1, $11.5]")</f>
        <v>U: [1/2 W]; W: [1:1, $11.5]</v>
      </c>
      <c r="N205" s="65" t="str">
        <f>IFERROR(__xludf.DUMMYFUNCTION("""COMPUTED_VALUE"""),"")</f>
        <v/>
      </c>
      <c r="O205" s="66">
        <f>IFERROR(__xludf.DUMMYFUNCTION("""COMPUTED_VALUE"""),0.0)</f>
        <v>0</v>
      </c>
      <c r="P205" s="67">
        <f>IFERROR(__xludf.DUMMYFUNCTION("""COMPUTED_VALUE"""),44027.0)</f>
        <v>44027</v>
      </c>
      <c r="Q205" s="68">
        <f>IFERROR(__xludf.DUMMYFUNCTION("""COMPUTED_VALUE"""),345.0)</f>
        <v>345</v>
      </c>
      <c r="R205" s="85" t="str">
        <f>IFERROR(__xludf.DUMMYFUNCTION("""COMPUTED_VALUE"""),"UBS")</f>
        <v>UBS</v>
      </c>
      <c r="S205" s="64">
        <f>IFERROR(__xludf.DUMMYFUNCTION("""COMPUTED_VALUE"""),44757.0)</f>
        <v>44757</v>
      </c>
      <c r="T205" s="70">
        <f>IFERROR(__xludf.DUMMYFUNCTION("""COMPUTED_VALUE"""),0.3684931506849315)</f>
        <v>0.3684931507</v>
      </c>
      <c r="U205" s="71" t="str">
        <f>IFERROR(__xludf.DUMMYFUNCTION("""COMPUTED_VALUE"""),"https://www.sec.gov/cgi-bin/browse-edgar?CIK=1812173")</f>
        <v>https://www.sec.gov/cgi-bin/browse-edgar?CIK=1812173</v>
      </c>
      <c r="V205" s="72" t="str">
        <f>IFERROR(__xludf.DUMMYFUNCTION("""COMPUTED_VALUE""")," Trading Below $10 (Common)        Well-known Sponsor   ")</f>
        <v> Trading Below $10 (Common)        Well-known Sponsor   </v>
      </c>
      <c r="W205" s="73"/>
      <c r="X205" s="74"/>
      <c r="Y205" s="75"/>
      <c r="Z205" s="60"/>
      <c r="AA205" s="60"/>
      <c r="AB205" s="60"/>
      <c r="AC205" s="60"/>
      <c r="AD205" s="73"/>
      <c r="AE205" s="73"/>
      <c r="AF205" s="76"/>
      <c r="AG205" s="60" t="str">
        <f>IFERROR(__xludf.DUMMYFUNCTION("""COMPUTED_VALUE"""),"")</f>
        <v/>
      </c>
    </row>
    <row r="206">
      <c r="A206" s="54" t="str">
        <f>IFERROR(__xludf.DUMMYFUNCTION("""COMPUTED_VALUE"""),"DFHT")</f>
        <v>DFHT</v>
      </c>
      <c r="B206" s="55" t="str">
        <f>IFERROR(__xludf.DUMMYFUNCTION("""COMPUTED_VALUE"""),"Deerfield Healthcare Technology Acquisitions")</f>
        <v>Deerfield Healthcare Technology Acquisitions</v>
      </c>
      <c r="C206" s="56" t="str">
        <f>IFERROR(__xludf.DUMMYFUNCTION("""COMPUTED_VALUE"""),"Definitive Agreement")</f>
        <v>Definitive Agreement</v>
      </c>
      <c r="D206" s="77" t="str">
        <f>IFERROR(__xludf.DUMMYFUNCTION("""COMPUTED_VALUE"""),"Healthcare")</f>
        <v>Healthcare</v>
      </c>
      <c r="E206" s="58" t="str">
        <f>IFERROR(__xludf.DUMMYFUNCTION("""COMPUTED_VALUE"""),"CareMax [DA: 12/18/20]")</f>
        <v>CareMax [DA: 12/18/20]</v>
      </c>
      <c r="F206" s="59"/>
      <c r="G206" s="60">
        <f>IFERROR(__xludf.DUMMYFUNCTION("""COMPUTED_VALUE"""),1.4379341E8)</f>
        <v>143793410</v>
      </c>
      <c r="H206" s="60">
        <f>IFERROR(__xludf.DUMMYFUNCTION("""COMPUTED_VALUE"""),2.0081875E8)</f>
        <v>200818750</v>
      </c>
      <c r="I206" s="61">
        <f>IFERROR(__xludf.DUMMYFUNCTION("""COMPUTED_VALUE"""),13.97)</f>
        <v>13.97</v>
      </c>
      <c r="J206" s="62">
        <f>IFERROR(__xludf.DUMMYFUNCTION("""COMPUTED_VALUE"""),0.04254)</f>
        <v>0.04254</v>
      </c>
      <c r="K206" s="59">
        <f>IFERROR(__xludf.DUMMYFUNCTION("""COMPUTED_VALUE"""),14.5)</f>
        <v>14.5</v>
      </c>
      <c r="L206" s="63">
        <f>IFERROR(__xludf.DUMMYFUNCTION("""COMPUTED_VALUE"""),3.45)</f>
        <v>3.45</v>
      </c>
      <c r="M206" s="64" t="str">
        <f>IFERROR(__xludf.DUMMYFUNCTION("""COMPUTED_VALUE"""),"U: [1/5 W]; W: [1:1, $11.5]")</f>
        <v>U: [1/5 W]; W: [1:1, $11.5]</v>
      </c>
      <c r="N206" s="65" t="str">
        <f>IFERROR(__xludf.DUMMYFUNCTION("""COMPUTED_VALUE"""),"")</f>
        <v/>
      </c>
      <c r="O206" s="66">
        <f>IFERROR(__xludf.DUMMYFUNCTION("""COMPUTED_VALUE"""),2.4700000000000006)</f>
        <v>2.47</v>
      </c>
      <c r="P206" s="67">
        <f>IFERROR(__xludf.DUMMYFUNCTION("""COMPUTED_VALUE"""),44029.0)</f>
        <v>44029</v>
      </c>
      <c r="Q206" s="68">
        <f>IFERROR(__xludf.DUMMYFUNCTION("""COMPUTED_VALUE"""),143.75)</f>
        <v>143.75</v>
      </c>
      <c r="R206" s="69" t="str">
        <f>IFERROR(__xludf.DUMMYFUNCTION("""COMPUTED_VALUE"""),"Deutsche Bank, UBS")</f>
        <v>Deutsche Bank, UBS</v>
      </c>
      <c r="S206" s="64">
        <f>IFERROR(__xludf.DUMMYFUNCTION("""COMPUTED_VALUE"""),44759.0)</f>
        <v>44759</v>
      </c>
      <c r="T206" s="70">
        <f>IFERROR(__xludf.DUMMYFUNCTION("""COMPUTED_VALUE"""),0.36575342465753424)</f>
        <v>0.3657534247</v>
      </c>
      <c r="U206" s="71" t="str">
        <f>IFERROR(__xludf.DUMMYFUNCTION("""COMPUTED_VALUE"""),"https://www.sec.gov/cgi-bin/browse-edgar?CIK=1813914")</f>
        <v>https://www.sec.gov/cgi-bin/browse-edgar?CIK=1813914</v>
      </c>
      <c r="V206" s="72" t="str">
        <f>IFERROR(__xludf.DUMMYFUNCTION("""COMPUTED_VALUE"""),"            ")</f>
        <v>            </v>
      </c>
      <c r="W206" s="73">
        <f>IFERROR(__xludf.DUMMYFUNCTION("""COMPUTED_VALUE"""),44183.0)</f>
        <v>44183</v>
      </c>
      <c r="X206" s="79">
        <f>IFERROR(__xludf.DUMMYFUNCTION("""COMPUTED_VALUE"""),5.133333333333334)</f>
        <v>5.133333333</v>
      </c>
      <c r="Y206" s="80" t="str">
        <f>IFERROR(__xludf.DUMMYFUNCTION("""COMPUTED_VALUE"""),"https://www.businesswire.com/news/home/20201218005517/en/")</f>
        <v>https://www.businesswire.com/news/home/20201218005517/en/</v>
      </c>
      <c r="Z206" s="81" t="str">
        <f>IFERROR(__xludf.DUMMYFUNCTION("""COMPUTED_VALUE"""),"https://www.sec.gov/Archives/edgar/data/1813914/000110465920137291/tm2038824d1_ex99-2.htm")</f>
        <v>https://www.sec.gov/Archives/edgar/data/1813914/000110465920137291/tm2038824d1_ex99-2.htm</v>
      </c>
      <c r="AA206" s="60">
        <f>IFERROR(__xludf.DUMMYFUNCTION("""COMPUTED_VALUE"""),4.05E8)</f>
        <v>405000000</v>
      </c>
      <c r="AB206" s="60">
        <f>IFERROR(__xludf.DUMMYFUNCTION("""COMPUTED_VALUE"""),7.99E8)</f>
        <v>799000000</v>
      </c>
      <c r="AC206" s="60">
        <f>IFERROR(__xludf.DUMMYFUNCTION("""COMPUTED_VALUE"""),6.92E8)</f>
        <v>692000000</v>
      </c>
      <c r="AD206" s="73"/>
      <c r="AE206" s="73"/>
      <c r="AF206" s="76">
        <f>IFERROR(__xludf.DUMMYFUNCTION("""COMPUTED_VALUE"""),7.99E7)</f>
        <v>79900000</v>
      </c>
      <c r="AG206" s="60">
        <f>IFERROR(__xludf.DUMMYFUNCTION("""COMPUTED_VALUE"""),1.116203E9)</f>
        <v>1116203000</v>
      </c>
    </row>
    <row r="207">
      <c r="A207" s="54" t="str">
        <f>IFERROR(__xludf.DUMMYFUNCTION("""COMPUTED_VALUE"""),"DFNS")</f>
        <v>DFNS</v>
      </c>
      <c r="B207" s="55" t="str">
        <f>IFERROR(__xludf.DUMMYFUNCTION("""COMPUTED_VALUE"""),"LGL Systems Acquisition Corp")</f>
        <v>LGL Systems Acquisition Corp</v>
      </c>
      <c r="C207" s="56" t="str">
        <f>IFERROR(__xludf.DUMMYFUNCTION("""COMPUTED_VALUE"""),"Definitive Agreement")</f>
        <v>Definitive Agreement</v>
      </c>
      <c r="D207" s="77" t="str">
        <f>IFERROR(__xludf.DUMMYFUNCTION("""COMPUTED_VALUE"""),"Aerospace, Defense, Communications")</f>
        <v>Aerospace, Defense, Communications</v>
      </c>
      <c r="E207" s="58" t="str">
        <f>IFERROR(__xludf.DUMMYFUNCTION("""COMPUTED_VALUE"""),"IronNet [DA: 03/15/21]")</f>
        <v>IronNet [DA: 03/15/21]</v>
      </c>
      <c r="F207" s="59"/>
      <c r="G207" s="60">
        <f>IFERROR(__xludf.DUMMYFUNCTION("""COMPUTED_VALUE"""),1.73100514E8)</f>
        <v>173100514</v>
      </c>
      <c r="H207" s="60">
        <f>IFERROR(__xludf.DUMMYFUNCTION("""COMPUTED_VALUE"""),1.7181E8)</f>
        <v>171810000</v>
      </c>
      <c r="I207" s="61">
        <f>IFERROR(__xludf.DUMMYFUNCTION("""COMPUTED_VALUE"""),9.96)</f>
        <v>9.96</v>
      </c>
      <c r="J207" s="62"/>
      <c r="K207" s="59">
        <f>IFERROR(__xludf.DUMMYFUNCTION("""COMPUTED_VALUE"""),10.6)</f>
        <v>10.6</v>
      </c>
      <c r="L207" s="63">
        <f>IFERROR(__xludf.DUMMYFUNCTION("""COMPUTED_VALUE"""),1.31)</f>
        <v>1.31</v>
      </c>
      <c r="M207" s="64" t="str">
        <f>IFERROR(__xludf.DUMMYFUNCTION("""COMPUTED_VALUE"""),"U: [1/2 W]; W: [1:1, $11.5]")</f>
        <v>U: [1/2 W]; W: [1:1, $11.5]</v>
      </c>
      <c r="N207" s="65" t="str">
        <f>IFERROR(__xludf.DUMMYFUNCTION("""COMPUTED_VALUE"""),"")</f>
        <v/>
      </c>
      <c r="O207" s="66">
        <f>IFERROR(__xludf.DUMMYFUNCTION("""COMPUTED_VALUE"""),0.0)</f>
        <v>0</v>
      </c>
      <c r="P207" s="67">
        <f>IFERROR(__xludf.DUMMYFUNCTION("""COMPUTED_VALUE"""),43776.0)</f>
        <v>43776</v>
      </c>
      <c r="Q207" s="68">
        <f>IFERROR(__xludf.DUMMYFUNCTION("""COMPUTED_VALUE"""),172.5)</f>
        <v>172.5</v>
      </c>
      <c r="R207" s="69" t="str">
        <f>IFERROR(__xludf.DUMMYFUNCTION("""COMPUTED_VALUE"""),"Jefferies, BTIG")</f>
        <v>Jefferies, BTIG</v>
      </c>
      <c r="S207" s="64">
        <f>IFERROR(__xludf.DUMMYFUNCTION("""COMPUTED_VALUE"""),44506.0)</f>
        <v>44506</v>
      </c>
      <c r="T207" s="70">
        <f>IFERROR(__xludf.DUMMYFUNCTION("""COMPUTED_VALUE"""),0.7123287671232876)</f>
        <v>0.7123287671</v>
      </c>
      <c r="U207" s="71" t="str">
        <f>IFERROR(__xludf.DUMMYFUNCTION("""COMPUTED_VALUE"""),"https://www.sec.gov/cgi-bin/browse-edgar?CIK=1777946")</f>
        <v>https://www.sec.gov/cgi-bin/browse-edgar?CIK=1777946</v>
      </c>
      <c r="V207" s="72" t="str">
        <f>IFERROR(__xludf.DUMMYFUNCTION("""COMPUTED_VALUE"""),"Aerospace Trading Below $10 (Common)           ")</f>
        <v>Aerospace Trading Below $10 (Common)           </v>
      </c>
      <c r="W207" s="73">
        <f>IFERROR(__xludf.DUMMYFUNCTION("""COMPUTED_VALUE"""),44270.0)</f>
        <v>44270</v>
      </c>
      <c r="X207" s="79">
        <f>IFERROR(__xludf.DUMMYFUNCTION("""COMPUTED_VALUE"""),16.466666666666665)</f>
        <v>16.46666667</v>
      </c>
      <c r="Y207" s="80" t="str">
        <f>IFERROR(__xludf.DUMMYFUNCTION("""COMPUTED_VALUE"""),"https://www.businesswire.com/news/home/20210315005346/en/IronNet-Cybersecurity-the-Leader-in-Collective-Defense-and-Network-Detection-and-Response-NDR-to-Be-Listed-on-NYSE-Through-a-Merger-With-LGL-Systems-Acquisition-Corp")</f>
        <v>https://www.businesswire.com/news/home/20210315005346/en/IronNet-Cybersecurity-the-Leader-in-Collective-Defense-and-Network-Detection-and-Response-NDR-to-Be-Listed-on-NYSE-Through-a-Merger-With-LGL-Systems-Acquisition-Corp</v>
      </c>
      <c r="Z207" s="81" t="str">
        <f>IFERROR(__xludf.DUMMYFUNCTION("""COMPUTED_VALUE"""),"https://www.sec.gov/Archives/edgar/data/1777946/000121390021015433/ea137631ex99-3_lglsystems.htm")</f>
        <v>https://www.sec.gov/Archives/edgar/data/1777946/000121390021015433/ea137631ex99-3_lglsystems.htm</v>
      </c>
      <c r="AA207" s="60">
        <f>IFERROR(__xludf.DUMMYFUNCTION("""COMPUTED_VALUE"""),1.25E8)</f>
        <v>125000000</v>
      </c>
      <c r="AB207" s="60">
        <f>IFERROR(__xludf.DUMMYFUNCTION("""COMPUTED_VALUE"""),1.1932E9)</f>
        <v>1193200000</v>
      </c>
      <c r="AC207" s="60">
        <f>IFERROR(__xludf.DUMMYFUNCTION("""COMPUTED_VALUE"""),9.27E8)</f>
        <v>927000000</v>
      </c>
      <c r="AD207" s="73"/>
      <c r="AE207" s="73"/>
      <c r="AF207" s="76">
        <f>IFERROR(__xludf.DUMMYFUNCTION("""COMPUTED_VALUE"""),1.1932E8)</f>
        <v>119320000</v>
      </c>
      <c r="AG207" s="60">
        <f>IFERROR(__xludf.DUMMYFUNCTION("""COMPUTED_VALUE"""),1.1884272E9)</f>
        <v>1188427200</v>
      </c>
    </row>
    <row r="208">
      <c r="A208" s="54" t="str">
        <f>IFERROR(__xludf.DUMMYFUNCTION("""COMPUTED_VALUE"""),"DFPH")</f>
        <v>DFPH</v>
      </c>
      <c r="B208" s="55" t="str">
        <f>IFERROR(__xludf.DUMMYFUNCTION("""COMPUTED_VALUE"""),"DFP Healthcare Acquisitions Corp")</f>
        <v>DFP Healthcare Acquisitions Corp</v>
      </c>
      <c r="C208" s="56" t="str">
        <f>IFERROR(__xludf.DUMMYFUNCTION("""COMPUTED_VALUE"""),"Searching")</f>
        <v>Searching</v>
      </c>
      <c r="D208" s="77" t="str">
        <f>IFERROR(__xludf.DUMMYFUNCTION("""COMPUTED_VALUE"""),"Healthcare")</f>
        <v>Healthcare</v>
      </c>
      <c r="E208" s="58"/>
      <c r="F208" s="59" t="str">
        <f>IFERROR(__xludf.DUMMYFUNCTION("""COMPUTED_VALUE"""),"Deerfield")</f>
        <v>Deerfield</v>
      </c>
      <c r="G208" s="60">
        <f>IFERROR(__xludf.DUMMYFUNCTION("""COMPUTED_VALUE"""),2.30254149E8)</f>
        <v>230254149</v>
      </c>
      <c r="H208" s="60">
        <f>IFERROR(__xludf.DUMMYFUNCTION("""COMPUTED_VALUE"""),2.3184E8)</f>
        <v>231840000</v>
      </c>
      <c r="I208" s="61">
        <f>IFERROR(__xludf.DUMMYFUNCTION("""COMPUTED_VALUE"""),10.08)</f>
        <v>10.08</v>
      </c>
      <c r="J208" s="62">
        <f>IFERROR(__xludf.DUMMYFUNCTION("""COMPUTED_VALUE"""),-0.00787)</f>
        <v>-0.00787</v>
      </c>
      <c r="K208" s="59" t="str">
        <f>IFERROR(__xludf.DUMMYFUNCTION("""COMPUTED_VALUE""")," ")</f>
        <v> </v>
      </c>
      <c r="L208" s="63">
        <f>IFERROR(__xludf.DUMMYFUNCTION("""COMPUTED_VALUE"""),1.2825)</f>
        <v>1.2825</v>
      </c>
      <c r="M208" s="64" t="str">
        <f>IFERROR(__xludf.DUMMYFUNCTION("""COMPUTED_VALUE"""),"U: [1/4 W]; W: [1:1, $11.5]")</f>
        <v>U: [1/4 W]; W: [1:1, $11.5]</v>
      </c>
      <c r="N208" s="65" t="str">
        <f>IFERROR(__xludf.DUMMYFUNCTION("""COMPUTED_VALUE"""),"")</f>
        <v/>
      </c>
      <c r="O208" s="66">
        <f>IFERROR(__xludf.DUMMYFUNCTION("""COMPUTED_VALUE"""),0.0)</f>
        <v>0</v>
      </c>
      <c r="P208" s="67">
        <f>IFERROR(__xludf.DUMMYFUNCTION("""COMPUTED_VALUE"""),43901.0)</f>
        <v>43901</v>
      </c>
      <c r="Q208" s="68">
        <f>IFERROR(__xludf.DUMMYFUNCTION("""COMPUTED_VALUE"""),230.0)</f>
        <v>230</v>
      </c>
      <c r="R208" s="85" t="str">
        <f>IFERROR(__xludf.DUMMYFUNCTION("""COMPUTED_VALUE"""),"Deutsche Bank, Jefferies")</f>
        <v>Deutsche Bank, Jefferies</v>
      </c>
      <c r="S208" s="64">
        <f>IFERROR(__xludf.DUMMYFUNCTION("""COMPUTED_VALUE"""),44631.0)</f>
        <v>44631</v>
      </c>
      <c r="T208" s="70">
        <f>IFERROR(__xludf.DUMMYFUNCTION("""COMPUTED_VALUE"""),0.541095890410959)</f>
        <v>0.5410958904</v>
      </c>
      <c r="U208" s="71" t="str">
        <f>IFERROR(__xludf.DUMMYFUNCTION("""COMPUTED_VALUE"""),"https://www.sec.gov/cgi-bin/browse-edgar?CIK=1799191")</f>
        <v>https://www.sec.gov/cgi-bin/browse-edgar?CIK=1799191</v>
      </c>
      <c r="V208" s="72" t="str">
        <f>IFERROR(__xludf.DUMMYFUNCTION("""COMPUTED_VALUE"""),"            ")</f>
        <v>            </v>
      </c>
      <c r="W208" s="73"/>
      <c r="X208" s="74"/>
      <c r="Y208" s="75"/>
      <c r="Z208" s="60"/>
      <c r="AA208" s="60"/>
      <c r="AB208" s="60"/>
      <c r="AC208" s="60"/>
      <c r="AD208" s="73"/>
      <c r="AE208" s="73"/>
      <c r="AF208" s="76"/>
      <c r="AG208" s="60" t="str">
        <f>IFERROR(__xludf.DUMMYFUNCTION("""COMPUTED_VALUE"""),"")</f>
        <v/>
      </c>
    </row>
    <row r="209">
      <c r="A209" s="54" t="str">
        <f>IFERROR(__xludf.DUMMYFUNCTION("""COMPUTED_VALUE"""),"DGNR")</f>
        <v>DGNR</v>
      </c>
      <c r="B209" s="55" t="str">
        <f>IFERROR(__xludf.DUMMYFUNCTION("""COMPUTED_VALUE"""),"Dragoneer Growth Opportunities Corp.")</f>
        <v>Dragoneer Growth Opportunities Corp.</v>
      </c>
      <c r="C209" s="56" t="str">
        <f>IFERROR(__xludf.DUMMYFUNCTION("""COMPUTED_VALUE"""),"Definitive Agreement")</f>
        <v>Definitive Agreement</v>
      </c>
      <c r="D209" s="77" t="str">
        <f>IFERROR(__xludf.DUMMYFUNCTION("""COMPUTED_VALUE"""),"Software, Internet, Media, Consumer / Retail, Health-care, IT, Financial Services / Fintech")</f>
        <v>Software, Internet, Media, Consumer / Retail, Health-care, IT, Financial Services / Fintech</v>
      </c>
      <c r="E209" s="58" t="str">
        <f>IFERROR(__xludf.DUMMYFUNCTION("""COMPUTED_VALUE"""),"CCC Information Services [DA: 02/03/21]")</f>
        <v>CCC Information Services [DA: 02/03/21]</v>
      </c>
      <c r="F209" s="59" t="str">
        <f>IFERROR(__xludf.DUMMYFUNCTION("""COMPUTED_VALUE"""),"Marc Stad (Founder/Managing Partner, Dragoneer), David Ossip (CEO of Ceridian HCM Holding, Sarah Friar (CEO, Nextdoor and Former CFO, Square)")</f>
        <v>Marc Stad (Founder/Managing Partner, Dragoneer), David Ossip (CEO of Ceridian HCM Holding, Sarah Friar (CEO, Nextdoor and Former CFO, Square)</v>
      </c>
      <c r="G209" s="60">
        <f>IFERROR(__xludf.DUMMYFUNCTION("""COMPUTED_VALUE"""),6.9E8)</f>
        <v>690000000</v>
      </c>
      <c r="H209" s="60">
        <f>IFERROR(__xludf.DUMMYFUNCTION("""COMPUTED_VALUE"""),7.0518E8)</f>
        <v>705180000</v>
      </c>
      <c r="I209" s="61">
        <f>IFERROR(__xludf.DUMMYFUNCTION("""COMPUTED_VALUE"""),10.22)</f>
        <v>10.22</v>
      </c>
      <c r="J209" s="62">
        <f>IFERROR(__xludf.DUMMYFUNCTION("""COMPUTED_VALUE"""),-9.8E-4)</f>
        <v>-0.00098</v>
      </c>
      <c r="K209" s="59">
        <f>IFERROR(__xludf.DUMMYFUNCTION("""COMPUTED_VALUE"""),10.52)</f>
        <v>10.52</v>
      </c>
      <c r="L209" s="63">
        <f>IFERROR(__xludf.DUMMYFUNCTION("""COMPUTED_VALUE"""),1.95)</f>
        <v>1.95</v>
      </c>
      <c r="M209" s="64" t="str">
        <f>IFERROR(__xludf.DUMMYFUNCTION("""COMPUTED_VALUE"""),"U: [1/5 W]; W: [1:1, $11.5]")</f>
        <v>U: [1/5 W]; W: [1:1, $11.5]</v>
      </c>
      <c r="N209" s="65" t="str">
        <f>IFERROR(__xludf.DUMMYFUNCTION("""COMPUTED_VALUE"""),"")</f>
        <v/>
      </c>
      <c r="O209" s="66">
        <f>IFERROR(__xludf.DUMMYFUNCTION("""COMPUTED_VALUE"""),0.0)</f>
        <v>0</v>
      </c>
      <c r="P209" s="67">
        <f>IFERROR(__xludf.DUMMYFUNCTION("""COMPUTED_VALUE"""),44056.0)</f>
        <v>44056</v>
      </c>
      <c r="Q209" s="68">
        <f>IFERROR(__xludf.DUMMYFUNCTION("""COMPUTED_VALUE"""),690.0)</f>
        <v>690</v>
      </c>
      <c r="R209" s="69" t="str">
        <f>IFERROR(__xludf.DUMMYFUNCTION("""COMPUTED_VALUE"""),"Citigroup, JP Morgan, Goldman Sachs")</f>
        <v>Citigroup, JP Morgan, Goldman Sachs</v>
      </c>
      <c r="S209" s="64">
        <f>IFERROR(__xludf.DUMMYFUNCTION("""COMPUTED_VALUE"""),44786.0)</f>
        <v>44786</v>
      </c>
      <c r="T209" s="70">
        <f>IFERROR(__xludf.DUMMYFUNCTION("""COMPUTED_VALUE"""),0.3287671232876712)</f>
        <v>0.3287671233</v>
      </c>
      <c r="U209" s="71" t="str">
        <f>IFERROR(__xludf.DUMMYFUNCTION("""COMPUTED_VALUE"""),"https://www.sec.gov/cgi-bin/browse-edgar?CIK=1818201")</f>
        <v>https://www.sec.gov/cgi-bin/browse-edgar?CIK=1818201</v>
      </c>
      <c r="V209" s="72" t="str">
        <f>IFERROR(__xludf.DUMMYFUNCTION("""COMPUTED_VALUE"""),"Venture Capital   $500M+ Trust Optionable    Well-known Sponsor Serial Sponsor Top Tier UW ")</f>
        <v>Venture Capital   $500M+ Trust Optionable    Well-known Sponsor Serial Sponsor Top Tier UW </v>
      </c>
      <c r="W209" s="73">
        <f>IFERROR(__xludf.DUMMYFUNCTION("""COMPUTED_VALUE"""),44230.0)</f>
        <v>44230</v>
      </c>
      <c r="X209" s="79">
        <f>IFERROR(__xludf.DUMMYFUNCTION("""COMPUTED_VALUE"""),5.8)</f>
        <v>5.8</v>
      </c>
      <c r="Y209" s="80" t="str">
        <f>IFERROR(__xludf.DUMMYFUNCTION("""COMPUTED_VALUE"""),"https://www.businesswire.com/news/home/20210203005331/en/CCC-Information-Services-Inc.-and-Dragoneer-Growth-Opportunities-Corp.-Announce-Business-Combination-Creating-Publicly-Listed-Leader-Accelerating-the-Digital-Transformation-of-the-PC-Insurance-Econo"&amp;"my")</f>
        <v>https://www.businesswire.com/news/home/20210203005331/en/CCC-Information-Services-Inc.-and-Dragoneer-Growth-Opportunities-Corp.-Announce-Business-Combination-Creating-Publicly-Listed-Leader-Accelerating-the-Digital-Transformation-of-the-PC-Insurance-Economy</v>
      </c>
      <c r="Z209" s="81" t="str">
        <f>IFERROR(__xludf.DUMMYFUNCTION("""COMPUTED_VALUE"""),"https://www.sec.gov/Archives/edgar/data/1818201/000119312521026659/d101043dex992.htm")</f>
        <v>https://www.sec.gov/Archives/edgar/data/1818201/000119312521026659/d101043dex992.htm</v>
      </c>
      <c r="AA209" s="60">
        <f>IFERROR(__xludf.DUMMYFUNCTION("""COMPUTED_VALUE"""),1.5E8)</f>
        <v>150000000</v>
      </c>
      <c r="AB209" s="60">
        <f>IFERROR(__xludf.DUMMYFUNCTION("""COMPUTED_VALUE"""),6.542E9)</f>
        <v>6542000000</v>
      </c>
      <c r="AC209" s="60">
        <f>IFERROR(__xludf.DUMMYFUNCTION("""COMPUTED_VALUE"""),7.049E9)</f>
        <v>7049000000</v>
      </c>
      <c r="AD209" s="73"/>
      <c r="AE209" s="73"/>
      <c r="AF209" s="76">
        <f>IFERROR(__xludf.DUMMYFUNCTION("""COMPUTED_VALUE"""),6.542E8)</f>
        <v>654200000</v>
      </c>
      <c r="AG209" s="60">
        <f>IFERROR(__xludf.DUMMYFUNCTION("""COMPUTED_VALUE"""),6.685924E9)</f>
        <v>6685924000</v>
      </c>
    </row>
    <row r="210">
      <c r="A210" s="54" t="str">
        <f>IFERROR(__xludf.DUMMYFUNCTION("""COMPUTED_VALUE"""),"DGNS")</f>
        <v>DGNS</v>
      </c>
      <c r="B210" s="55" t="str">
        <f>IFERROR(__xludf.DUMMYFUNCTION("""COMPUTED_VALUE"""),"Dragoneer Growth Opportunities Corp. II")</f>
        <v>Dragoneer Growth Opportunities Corp. II</v>
      </c>
      <c r="C210" s="56" t="str">
        <f>IFERROR(__xludf.DUMMYFUNCTION("""COMPUTED_VALUE"""),"Searching")</f>
        <v>Searching</v>
      </c>
      <c r="D210" s="57" t="str">
        <f>IFERROR(__xludf.DUMMYFUNCTION("""COMPUTED_VALUE"""),"Software, Internet, Media, Consumer / Retail, Health-care, IT, Financial Services / Fintech")</f>
        <v>Software, Internet, Media, Consumer / Retail, Health-care, IT, Financial Services / Fintech</v>
      </c>
      <c r="E210" s="58"/>
      <c r="F210" s="59" t="str">
        <f>IFERROR(__xludf.DUMMYFUNCTION("""COMPUTED_VALUE"""),"Marc Stad (Founder/Managing Partner, Dragoneer), David Ossip (CEO of Ceridian HCM Holding, Sarah Friar (CEO, Nextdoor and Former CFO, Square), Jay Simmons (Fmr President, Atlassian)")</f>
        <v>Marc Stad (Founder/Managing Partner, Dragoneer), David Ossip (CEO of Ceridian HCM Holding, Sarah Friar (CEO, Nextdoor and Former CFO, Square), Jay Simmons (Fmr President, Atlassian)</v>
      </c>
      <c r="G210" s="60">
        <f>IFERROR(__xludf.DUMMYFUNCTION("""COMPUTED_VALUE"""),2.76E8)</f>
        <v>276000000</v>
      </c>
      <c r="H210" s="60">
        <f>IFERROR(__xludf.DUMMYFUNCTION("""COMPUTED_VALUE"""),2.962784E8)</f>
        <v>296278400</v>
      </c>
      <c r="I210" s="61">
        <f>IFERROR(__xludf.DUMMYFUNCTION("""COMPUTED_VALUE"""),10.45)</f>
        <v>10.45</v>
      </c>
      <c r="J210" s="62">
        <f>IFERROR(__xludf.DUMMYFUNCTION("""COMPUTED_VALUE"""),-0.0076)</f>
        <v>-0.0076</v>
      </c>
      <c r="K210" s="59" t="str">
        <f>IFERROR(__xludf.DUMMYFUNCTION("""COMPUTED_VALUE""")," ")</f>
        <v> </v>
      </c>
      <c r="L210" s="63" t="str">
        <f>IFERROR(__xludf.DUMMYFUNCTION("""COMPUTED_VALUE""")," ")</f>
        <v> </v>
      </c>
      <c r="M210" s="64" t="str">
        <f>IFERROR(__xludf.DUMMYFUNCTION("""COMPUTED_VALUE"""),"U: [No units]; W: [No warrants]")</f>
        <v>U: [No units]; W: [No warrants]</v>
      </c>
      <c r="N210" s="65" t="str">
        <f>IFERROR(__xludf.DUMMYFUNCTION("""COMPUTED_VALUE"""),"")</f>
        <v/>
      </c>
      <c r="O210" s="66">
        <f>IFERROR(__xludf.DUMMYFUNCTION("""COMPUTED_VALUE"""),0.0)</f>
        <v>0</v>
      </c>
      <c r="P210" s="67">
        <f>IFERROR(__xludf.DUMMYFUNCTION("""COMPUTED_VALUE"""),44151.0)</f>
        <v>44151</v>
      </c>
      <c r="Q210" s="68">
        <f>IFERROR(__xludf.DUMMYFUNCTION("""COMPUTED_VALUE"""),276.0)</f>
        <v>276</v>
      </c>
      <c r="R210" s="69" t="str">
        <f>IFERROR(__xludf.DUMMYFUNCTION("""COMPUTED_VALUE"""),"Citigroup, Credit Suisse, Morgan Stanley")</f>
        <v>Citigroup, Credit Suisse, Morgan Stanley</v>
      </c>
      <c r="S210" s="64">
        <f>IFERROR(__xludf.DUMMYFUNCTION("""COMPUTED_VALUE"""),44881.0)</f>
        <v>44881</v>
      </c>
      <c r="T210" s="70">
        <f>IFERROR(__xludf.DUMMYFUNCTION("""COMPUTED_VALUE"""),0.19863013698630136)</f>
        <v>0.198630137</v>
      </c>
      <c r="U210" s="71" t="str">
        <f>IFERROR(__xludf.DUMMYFUNCTION("""COMPUTED_VALUE"""),"https://www.sec.gov/cgi-bin/browse-edgar?CIK=1827075")</f>
        <v>https://www.sec.gov/cgi-bin/browse-edgar?CIK=1827075</v>
      </c>
      <c r="V210" s="72" t="str">
        <f>IFERROR(__xludf.DUMMYFUNCTION("""COMPUTED_VALUE"""),"Venture Capital     Optionable    Well-known Sponsor Serial Sponsor Top Tier UW ")</f>
        <v>Venture Capital     Optionable    Well-known Sponsor Serial Sponsor Top Tier UW </v>
      </c>
      <c r="W210" s="73"/>
      <c r="X210" s="74"/>
      <c r="Y210" s="75"/>
      <c r="Z210" s="60"/>
      <c r="AA210" s="60"/>
      <c r="AB210" s="60"/>
      <c r="AC210" s="60"/>
      <c r="AD210" s="73"/>
      <c r="AE210" s="73"/>
      <c r="AF210" s="76"/>
      <c r="AG210" s="60" t="str">
        <f>IFERROR(__xludf.DUMMYFUNCTION("""COMPUTED_VALUE"""),"")</f>
        <v/>
      </c>
    </row>
    <row r="211">
      <c r="A211" s="54" t="str">
        <f>IFERROR(__xludf.DUMMYFUNCTION("""COMPUTED_VALUE"""),"DGNU")</f>
        <v>DGNU</v>
      </c>
      <c r="B211" s="55" t="str">
        <f>IFERROR(__xludf.DUMMYFUNCTION("""COMPUTED_VALUE"""),"Dragoneer Growth Opportunities Corp. III")</f>
        <v>Dragoneer Growth Opportunities Corp. III</v>
      </c>
      <c r="C211" s="56" t="str">
        <f>IFERROR(__xludf.DUMMYFUNCTION("""COMPUTED_VALUE"""),"Searching")</f>
        <v>Searching</v>
      </c>
      <c r="D211" s="57"/>
      <c r="E211" s="58"/>
      <c r="F211" s="59" t="str">
        <f>IFERROR(__xludf.DUMMYFUNCTION("""COMPUTED_VALUE"""),"Marc Stad (Founder, CEO, CIO, &amp; Managing Partner of Dragoneer Investment Group), Sarah Friar (CEO of Nextdoor, Former CFO of Square, Director of Walmart &amp; Slack Technologies)")</f>
        <v>Marc Stad (Founder, CEO, CIO, &amp; Managing Partner of Dragoneer Investment Group), Sarah Friar (CEO of Nextdoor, Former CFO of Square, Director of Walmart &amp; Slack Technologies)</v>
      </c>
      <c r="G211" s="60">
        <f>IFERROR(__xludf.DUMMYFUNCTION("""COMPUTED_VALUE"""),4.0E8)</f>
        <v>400000000</v>
      </c>
      <c r="H211" s="60">
        <f>IFERROR(__xludf.DUMMYFUNCTION("""COMPUTED_VALUE"""),4.104E8)</f>
        <v>410400000</v>
      </c>
      <c r="I211" s="61">
        <f>IFERROR(__xludf.DUMMYFUNCTION("""COMPUTED_VALUE"""),10.26)</f>
        <v>10.26</v>
      </c>
      <c r="J211" s="62">
        <f>IFERROR(__xludf.DUMMYFUNCTION("""COMPUTED_VALUE"""),-0.00965)</f>
        <v>-0.00965</v>
      </c>
      <c r="K211" s="59" t="str">
        <f>IFERROR(__xludf.DUMMYFUNCTION("""COMPUTED_VALUE""")," ")</f>
        <v> </v>
      </c>
      <c r="L211" s="63" t="str">
        <f>IFERROR(__xludf.DUMMYFUNCTION("""COMPUTED_VALUE""")," ")</f>
        <v> </v>
      </c>
      <c r="M211" s="64" t="str">
        <f>IFERROR(__xludf.DUMMYFUNCTION("""COMPUTED_VALUE"""),"U: [No Units]; W: [No Warrants]")</f>
        <v>U: [No Units]; W: [No Warrants]</v>
      </c>
      <c r="N211" s="65" t="str">
        <f>IFERROR(__xludf.DUMMYFUNCTION("""COMPUTED_VALUE"""),"")</f>
        <v/>
      </c>
      <c r="O211" s="66">
        <f>IFERROR(__xludf.DUMMYFUNCTION("""COMPUTED_VALUE"""),0.0)</f>
        <v>0</v>
      </c>
      <c r="P211" s="67">
        <f>IFERROR(__xludf.DUMMYFUNCTION("""COMPUTED_VALUE"""),44277.0)</f>
        <v>44277</v>
      </c>
      <c r="Q211" s="68">
        <f>IFERROR(__xludf.DUMMYFUNCTION("""COMPUTED_VALUE"""),400.0)</f>
        <v>400</v>
      </c>
      <c r="R211" s="69" t="str">
        <f>IFERROR(__xludf.DUMMYFUNCTION("""COMPUTED_VALUE"""),"Citigroup, Goldman Sachs &amp; Co. LLC, J.P. Morgan")</f>
        <v>Citigroup, Goldman Sachs &amp; Co. LLC, J.P. Morgan</v>
      </c>
      <c r="S211" s="64">
        <f>IFERROR(__xludf.DUMMYFUNCTION("""COMPUTED_VALUE"""),45007.0)</f>
        <v>45007</v>
      </c>
      <c r="T211" s="70">
        <f>IFERROR(__xludf.DUMMYFUNCTION("""COMPUTED_VALUE"""),0.026027397260273973)</f>
        <v>0.02602739726</v>
      </c>
      <c r="U211" s="71" t="str">
        <f>IFERROR(__xludf.DUMMYFUNCTION("""COMPUTED_VALUE"""),"https://www.sec.gov/cgi-bin/browse-edgar?CIK=1827076")</f>
        <v>https://www.sec.gov/cgi-bin/browse-edgar?CIK=1827076</v>
      </c>
      <c r="V211" s="72" t="str">
        <f>IFERROR(__xludf.DUMMYFUNCTION("""COMPUTED_VALUE"""),"Venture Capital         Well-known Sponsor Serial Sponsor Top Tier UW ")</f>
        <v>Venture Capital         Well-known Sponsor Serial Sponsor Top Tier UW </v>
      </c>
      <c r="W211" s="73"/>
      <c r="X211" s="74"/>
      <c r="Y211" s="75"/>
      <c r="Z211" s="60"/>
      <c r="AA211" s="60"/>
      <c r="AB211" s="60"/>
      <c r="AC211" s="60"/>
      <c r="AD211" s="73"/>
      <c r="AE211" s="73"/>
      <c r="AF211" s="76"/>
      <c r="AG211" s="60"/>
    </row>
    <row r="212">
      <c r="A212" s="54" t="str">
        <f>IFERROR(__xludf.DUMMYFUNCTION("""COMPUTED_VALUE"""),"DGON")</f>
        <v>DGON</v>
      </c>
      <c r="B212" s="55" t="str">
        <f>IFERROR(__xludf.DUMMYFUNCTION("""COMPUTED_VALUE"""),"Black Dragon Acquisition Corp. I")</f>
        <v>Black Dragon Acquisition Corp. I</v>
      </c>
      <c r="C212" s="56" t="str">
        <f>IFERROR(__xludf.DUMMYFUNCTION("""COMPUTED_VALUE"""),"Pre IPO")</f>
        <v>Pre IPO</v>
      </c>
      <c r="D212" s="77" t="str">
        <f>IFERROR(__xludf.DUMMYFUNCTION("""COMPUTED_VALUE"""),"e-Commerce, sports &amp; media tech, or Fintech")</f>
        <v>e-Commerce, sports &amp; media tech, or Fintech</v>
      </c>
      <c r="E212" s="58"/>
      <c r="F212" s="59"/>
      <c r="G212" s="60">
        <f>IFERROR(__xludf.DUMMYFUNCTION("""COMPUTED_VALUE"""),2.5E8)</f>
        <v>250000000</v>
      </c>
      <c r="H212" s="60" t="str">
        <f>IFERROR(__xludf.DUMMYFUNCTION("""COMPUTED_VALUE""")," ")</f>
        <v> </v>
      </c>
      <c r="I212" s="61" t="str">
        <f>IFERROR(__xludf.DUMMYFUNCTION("""COMPUTED_VALUE""")," ")</f>
        <v> </v>
      </c>
      <c r="J212" s="62" t="str">
        <f>IFERROR(__xludf.DUMMYFUNCTION("""COMPUTED_VALUE""")," ")</f>
        <v> </v>
      </c>
      <c r="K212" s="59" t="str">
        <f>IFERROR(__xludf.DUMMYFUNCTION("""COMPUTED_VALUE""")," ")</f>
        <v> </v>
      </c>
      <c r="L212" s="63" t="str">
        <f>IFERROR(__xludf.DUMMYFUNCTION("""COMPUTED_VALUE""")," ")</f>
        <v> </v>
      </c>
      <c r="M212" s="64" t="str">
        <f>IFERROR(__xludf.DUMMYFUNCTION("""COMPUTED_VALUE"""),"U: [1/3 W]; W: [1:1, $11.5]")</f>
        <v>U: [1/3 W]; W: [1:1, $11.5]</v>
      </c>
      <c r="N212" s="65" t="str">
        <f>IFERROR(__xludf.DUMMYFUNCTION("""COMPUTED_VALUE"""),"")</f>
        <v/>
      </c>
      <c r="O212" s="66">
        <f>IFERROR(__xludf.DUMMYFUNCTION("""COMPUTED_VALUE"""),0.0)</f>
        <v>0</v>
      </c>
      <c r="P212" s="67"/>
      <c r="Q212" s="68">
        <f>IFERROR(__xludf.DUMMYFUNCTION("""COMPUTED_VALUE"""),250.0)</f>
        <v>250</v>
      </c>
      <c r="R212" s="69" t="str">
        <f>IFERROR(__xludf.DUMMYFUNCTION("""COMPUTED_VALUE"""),"Cowen")</f>
        <v>Cowen</v>
      </c>
      <c r="S212" s="64">
        <f>IFERROR(__xludf.DUMMYFUNCTION("""COMPUTED_VALUE"""),45086.0)</f>
        <v>45086</v>
      </c>
      <c r="T212" s="70" t="str">
        <f>IFERROR(__xludf.DUMMYFUNCTION("""COMPUTED_VALUE"""),"")</f>
        <v/>
      </c>
      <c r="U212" s="71" t="str">
        <f>IFERROR(__xludf.DUMMYFUNCTION("""COMPUTED_VALUE"""),"https://www.sec.gov/cgi-bin/browse-edgar?CIK=1845168")</f>
        <v>https://www.sec.gov/cgi-bin/browse-edgar?CIK=1845168</v>
      </c>
      <c r="V212" s="72" t="str">
        <f>IFERROR(__xludf.DUMMYFUNCTION("""COMPUTED_VALUE"""),"            ")</f>
        <v>            </v>
      </c>
      <c r="W212" s="73"/>
      <c r="X212" s="74"/>
      <c r="Y212" s="75"/>
      <c r="Z212" s="60"/>
      <c r="AA212" s="60"/>
      <c r="AB212" s="60"/>
      <c r="AC212" s="60"/>
      <c r="AD212" s="73"/>
      <c r="AE212" s="73"/>
      <c r="AF212" s="76"/>
      <c r="AG212" s="60"/>
    </row>
    <row r="213">
      <c r="A213" s="54" t="str">
        <f>IFERROR(__xludf.DUMMYFUNCTION("""COMPUTED_VALUE"""),"DHBC")</f>
        <v>DHBC</v>
      </c>
      <c r="B213" s="55" t="str">
        <f>IFERROR(__xludf.DUMMYFUNCTION("""COMPUTED_VALUE"""),"DHB Capital Corp.")</f>
        <v>DHB Capital Corp.</v>
      </c>
      <c r="C213" s="56" t="str">
        <f>IFERROR(__xludf.DUMMYFUNCTION("""COMPUTED_VALUE"""),"Searching (Pre Unit Split)")</f>
        <v>Searching (Pre Unit Split)</v>
      </c>
      <c r="D213" s="77" t="str">
        <f>IFERROR(__xludf.DUMMYFUNCTION("""COMPUTED_VALUE"""),"Financial Services")</f>
        <v>Financial Services</v>
      </c>
      <c r="E213" s="58"/>
      <c r="F213" s="59" t="str">
        <f>IFERROR(__xludf.DUMMYFUNCTION("""COMPUTED_VALUE"""),"Robert Hurst (Fmr Vice Chairman/ Head of Investment Banking Division, Goldman Sachs)")</f>
        <v>Robert Hurst (Fmr Vice Chairman/ Head of Investment Banking Division, Goldman Sachs)</v>
      </c>
      <c r="G213" s="60">
        <f>IFERROR(__xludf.DUMMYFUNCTION("""COMPUTED_VALUE"""),2.875E8)</f>
        <v>287500000</v>
      </c>
      <c r="H213" s="60" t="str">
        <f>IFERROR(__xludf.DUMMYFUNCTION("""COMPUTED_VALUE""")," ")</f>
        <v> </v>
      </c>
      <c r="I213" s="61" t="str">
        <f>IFERROR(__xludf.DUMMYFUNCTION("""COMPUTED_VALUE""")," ")</f>
        <v> </v>
      </c>
      <c r="J213" s="62" t="str">
        <f>IFERROR(__xludf.DUMMYFUNCTION("""COMPUTED_VALUE""")," ")</f>
        <v> </v>
      </c>
      <c r="K213" s="59">
        <f>IFERROR(__xludf.DUMMYFUNCTION("""COMPUTED_VALUE"""),9.99)</f>
        <v>9.99</v>
      </c>
      <c r="L213" s="63" t="str">
        <f>IFERROR(__xludf.DUMMYFUNCTION("""COMPUTED_VALUE""")," ")</f>
        <v> </v>
      </c>
      <c r="M213" s="64" t="str">
        <f>IFERROR(__xludf.DUMMYFUNCTION("""COMPUTED_VALUE"""),"U: [1/3 W]; W: [1:1, $11.5]")</f>
        <v>U: [1/3 W]; W: [1:1, $11.5]</v>
      </c>
      <c r="N213" s="65">
        <f>IFERROR(__xludf.DUMMYFUNCTION("""COMPUTED_VALUE"""),44308.0)</f>
        <v>44308</v>
      </c>
      <c r="O213" s="66" t="str">
        <f>IFERROR(__xludf.DUMMYFUNCTION("""COMPUTED_VALUE"""),"")</f>
        <v/>
      </c>
      <c r="P213" s="67">
        <f>IFERROR(__xludf.DUMMYFUNCTION("""COMPUTED_VALUE"""),44256.0)</f>
        <v>44256</v>
      </c>
      <c r="Q213" s="68">
        <f>IFERROR(__xludf.DUMMYFUNCTION("""COMPUTED_VALUE"""),287.5)</f>
        <v>287.5</v>
      </c>
      <c r="R213" s="69" t="str">
        <f>IFERROR(__xludf.DUMMYFUNCTION("""COMPUTED_VALUE"""),"BofA Securities, RBC Capital Markets")</f>
        <v>BofA Securities, RBC Capital Markets</v>
      </c>
      <c r="S213" s="64">
        <f>IFERROR(__xludf.DUMMYFUNCTION("""COMPUTED_VALUE"""),44986.0)</f>
        <v>44986</v>
      </c>
      <c r="T213" s="70">
        <f>IFERROR(__xludf.DUMMYFUNCTION("""COMPUTED_VALUE"""),0.0547945205479452)</f>
        <v>0.05479452055</v>
      </c>
      <c r="U213" s="71" t="str">
        <f>IFERROR(__xludf.DUMMYFUNCTION("""COMPUTED_VALUE"""),"https://www.sec.gov/cgi-bin/browse-edgar?CIK=1838176")</f>
        <v>https://www.sec.gov/cgi-bin/browse-edgar?CIK=1838176</v>
      </c>
      <c r="V213" s="72" t="str">
        <f>IFERROR(__xludf.DUMMYFUNCTION("""COMPUTED_VALUE"""),"           Top Tier UW ")</f>
        <v>           Top Tier UW </v>
      </c>
      <c r="W213" s="73"/>
      <c r="X213" s="74"/>
      <c r="Y213" s="75"/>
      <c r="Z213" s="60"/>
      <c r="AA213" s="60"/>
      <c r="AB213" s="60"/>
      <c r="AC213" s="60"/>
      <c r="AD213" s="73"/>
      <c r="AE213" s="73"/>
      <c r="AF213" s="76"/>
      <c r="AG213" s="60"/>
    </row>
    <row r="214">
      <c r="A214" s="54" t="str">
        <f>IFERROR(__xludf.DUMMYFUNCTION("""COMPUTED_VALUE"""),"DHCA")</f>
        <v>DHCA</v>
      </c>
      <c r="B214" s="55" t="str">
        <f>IFERROR(__xludf.DUMMYFUNCTION("""COMPUTED_VALUE"""),"DHC Acquisition Corp.")</f>
        <v>DHC Acquisition Corp.</v>
      </c>
      <c r="C214" s="56" t="str">
        <f>IFERROR(__xludf.DUMMYFUNCTION("""COMPUTED_VALUE"""),"Searching (Pre Unit Split)")</f>
        <v>Searching (Pre Unit Split)</v>
      </c>
      <c r="D214" s="77" t="str">
        <f>IFERROR(__xludf.DUMMYFUNCTION("""COMPUTED_VALUE"""),"Tech")</f>
        <v>Tech</v>
      </c>
      <c r="E214" s="58"/>
      <c r="F214" s="59" t="str">
        <f>IFERROR(__xludf.DUMMYFUNCTION("""COMPUTED_VALUE"""),"Joseph DePinto (CEO, 7-Eleven)")</f>
        <v>Joseph DePinto (CEO, 7-Eleven)</v>
      </c>
      <c r="G214" s="60">
        <f>IFERROR(__xludf.DUMMYFUNCTION("""COMPUTED_VALUE"""),3.0945072E8)</f>
        <v>309450720</v>
      </c>
      <c r="H214" s="60" t="str">
        <f>IFERROR(__xludf.DUMMYFUNCTION("""COMPUTED_VALUE""")," ")</f>
        <v> </v>
      </c>
      <c r="I214" s="61" t="str">
        <f>IFERROR(__xludf.DUMMYFUNCTION("""COMPUTED_VALUE""")," ")</f>
        <v> </v>
      </c>
      <c r="J214" s="62" t="str">
        <f>IFERROR(__xludf.DUMMYFUNCTION("""COMPUTED_VALUE""")," ")</f>
        <v> </v>
      </c>
      <c r="K214" s="59">
        <f>IFERROR(__xludf.DUMMYFUNCTION("""COMPUTED_VALUE"""),9.97)</f>
        <v>9.97</v>
      </c>
      <c r="L214" s="63" t="str">
        <f>IFERROR(__xludf.DUMMYFUNCTION("""COMPUTED_VALUE""")," ")</f>
        <v> </v>
      </c>
      <c r="M214" s="64" t="str">
        <f>IFERROR(__xludf.DUMMYFUNCTION("""COMPUTED_VALUE"""),"U: [1/3 W]; W: [1:1, $11.5]")</f>
        <v>U: [1/3 W]; W: [1:1, $11.5]</v>
      </c>
      <c r="N214" s="65">
        <f>IFERROR(__xludf.DUMMYFUNCTION("""COMPUTED_VALUE"""),44308.0)</f>
        <v>44308</v>
      </c>
      <c r="O214" s="66" t="str">
        <f>IFERROR(__xludf.DUMMYFUNCTION("""COMPUTED_VALUE"""),"")</f>
        <v/>
      </c>
      <c r="P214" s="67">
        <f>IFERROR(__xludf.DUMMYFUNCTION("""COMPUTED_VALUE"""),44256.0)</f>
        <v>44256</v>
      </c>
      <c r="Q214" s="68">
        <f>IFERROR(__xludf.DUMMYFUNCTION("""COMPUTED_VALUE"""),309.45072)</f>
        <v>309.45072</v>
      </c>
      <c r="R214" s="69" t="str">
        <f>IFERROR(__xludf.DUMMYFUNCTION("""COMPUTED_VALUE"""),"Citigroup")</f>
        <v>Citigroup</v>
      </c>
      <c r="S214" s="64">
        <f>IFERROR(__xludf.DUMMYFUNCTION("""COMPUTED_VALUE"""),44986.0)</f>
        <v>44986</v>
      </c>
      <c r="T214" s="70">
        <f>IFERROR(__xludf.DUMMYFUNCTION("""COMPUTED_VALUE"""),0.0547945205479452)</f>
        <v>0.05479452055</v>
      </c>
      <c r="U214" s="71" t="str">
        <f>IFERROR(__xludf.DUMMYFUNCTION("""COMPUTED_VALUE"""),"https://www.sec.gov/cgi-bin/browse-edgar?CIK=1838163")</f>
        <v>https://www.sec.gov/cgi-bin/browse-edgar?CIK=1838163</v>
      </c>
      <c r="V214" s="72" t="str">
        <f>IFERROR(__xludf.DUMMYFUNCTION("""COMPUTED_VALUE"""),"           Top Tier UW ")</f>
        <v>           Top Tier UW </v>
      </c>
      <c r="W214" s="73"/>
      <c r="X214" s="74"/>
      <c r="Y214" s="75"/>
      <c r="Z214" s="60"/>
      <c r="AA214" s="60"/>
      <c r="AB214" s="60"/>
      <c r="AC214" s="60"/>
      <c r="AD214" s="73"/>
      <c r="AE214" s="73"/>
      <c r="AF214" s="76"/>
      <c r="AG214" s="60"/>
    </row>
    <row r="215">
      <c r="A215" s="54" t="str">
        <f>IFERROR(__xludf.DUMMYFUNCTION("""COMPUTED_VALUE"""),"DHHC")</f>
        <v>DHHC</v>
      </c>
      <c r="B215" s="55" t="str">
        <f>IFERROR(__xludf.DUMMYFUNCTION("""COMPUTED_VALUE"""),"DiamondHead Holdings Corp.")</f>
        <v>DiamondHead Holdings Corp.</v>
      </c>
      <c r="C215" s="56" t="str">
        <f>IFERROR(__xludf.DUMMYFUNCTION("""COMPUTED_VALUE"""),"Searching")</f>
        <v>Searching</v>
      </c>
      <c r="D215" s="57"/>
      <c r="E215" s="58"/>
      <c r="F215" s="59" t="str">
        <f>IFERROR(__xludf.DUMMYFUNCTION("""COMPUTED_VALUE"""),"David Hamamoto (Director, Lordstown; Fmr Chairman, DiamondPeak)")</f>
        <v>David Hamamoto (Director, Lordstown; Fmr Chairman, DiamondPeak)</v>
      </c>
      <c r="G215" s="60">
        <f>IFERROR(__xludf.DUMMYFUNCTION("""COMPUTED_VALUE"""),3.45E8)</f>
        <v>345000000</v>
      </c>
      <c r="H215" s="60">
        <f>IFERROR(__xludf.DUMMYFUNCTION("""COMPUTED_VALUE"""),3.4431E8)</f>
        <v>344310000</v>
      </c>
      <c r="I215" s="61">
        <f>IFERROR(__xludf.DUMMYFUNCTION("""COMPUTED_VALUE"""),9.98)</f>
        <v>9.98</v>
      </c>
      <c r="J215" s="62">
        <f>IFERROR(__xludf.DUMMYFUNCTION("""COMPUTED_VALUE"""),0.01423)</f>
        <v>0.01423</v>
      </c>
      <c r="K215" s="59">
        <f>IFERROR(__xludf.DUMMYFUNCTION("""COMPUTED_VALUE"""),10.14)</f>
        <v>10.14</v>
      </c>
      <c r="L215" s="63">
        <f>IFERROR(__xludf.DUMMYFUNCTION("""COMPUTED_VALUE"""),0.9499)</f>
        <v>0.9499</v>
      </c>
      <c r="M215" s="64" t="str">
        <f>IFERROR(__xludf.DUMMYFUNCTION("""COMPUTED_VALUE"""),"U: [1/4 W]; W: [1:1, $11.5]")</f>
        <v>U: [1/4 W]; W: [1:1, $11.5]</v>
      </c>
      <c r="N215" s="65" t="str">
        <f>IFERROR(__xludf.DUMMYFUNCTION("""COMPUTED_VALUE"""),"")</f>
        <v/>
      </c>
      <c r="O215" s="66">
        <f>IFERROR(__xludf.DUMMYFUNCTION("""COMPUTED_VALUE"""),0.0)</f>
        <v>0</v>
      </c>
      <c r="P215" s="67">
        <f>IFERROR(__xludf.DUMMYFUNCTION("""COMPUTED_VALUE"""),44222.0)</f>
        <v>44222</v>
      </c>
      <c r="Q215" s="68">
        <f>IFERROR(__xludf.DUMMYFUNCTION("""COMPUTED_VALUE"""),345.0)</f>
        <v>345</v>
      </c>
      <c r="R215" s="69" t="str">
        <f>IFERROR(__xludf.DUMMYFUNCTION("""COMPUTED_VALUE"""),"Goldman Sachs")</f>
        <v>Goldman Sachs</v>
      </c>
      <c r="S215" s="64">
        <f>IFERROR(__xludf.DUMMYFUNCTION("""COMPUTED_VALUE"""),44952.0)</f>
        <v>44952</v>
      </c>
      <c r="T215" s="70">
        <f>IFERROR(__xludf.DUMMYFUNCTION("""COMPUTED_VALUE"""),0.10136986301369863)</f>
        <v>0.101369863</v>
      </c>
      <c r="U215" s="71" t="str">
        <f>IFERROR(__xludf.DUMMYFUNCTION("""COMPUTED_VALUE"""),"https://www.sec.gov/cgi-bin/browse-edgar?CIK=1830188")</f>
        <v>https://www.sec.gov/cgi-bin/browse-edgar?CIK=1830188</v>
      </c>
      <c r="V215" s="72" t="str">
        <f>IFERROR(__xludf.DUMMYFUNCTION("""COMPUTED_VALUE""")," Trading Below $10 (Common)          Top Tier UW ")</f>
        <v> Trading Below $10 (Common)          Top Tier UW </v>
      </c>
      <c r="W215" s="73"/>
      <c r="X215" s="74"/>
      <c r="Y215" s="75"/>
      <c r="Z215" s="60"/>
      <c r="AA215" s="60"/>
      <c r="AB215" s="60"/>
      <c r="AC215" s="60"/>
      <c r="AD215" s="73"/>
      <c r="AE215" s="73"/>
      <c r="AF215" s="76"/>
      <c r="AG215" s="60" t="str">
        <f>IFERROR(__xludf.DUMMYFUNCTION("""COMPUTED_VALUE"""),"")</f>
        <v/>
      </c>
    </row>
    <row r="216">
      <c r="A216" s="54" t="str">
        <f>IFERROR(__xludf.DUMMYFUNCTION("""COMPUTED_VALUE"""),"DIII")</f>
        <v>DIII</v>
      </c>
      <c r="B216" s="55" t="str">
        <f>IFERROR(__xludf.DUMMYFUNCTION("""COMPUTED_VALUE"""),"DD3 Acquisition Corp. III")</f>
        <v>DD3 Acquisition Corp. III</v>
      </c>
      <c r="C216" s="56" t="str">
        <f>IFERROR(__xludf.DUMMYFUNCTION("""COMPUTED_VALUE"""),"Pre IPO")</f>
        <v>Pre IPO</v>
      </c>
      <c r="D216" s="77" t="str">
        <f>IFERROR(__xludf.DUMMYFUNCTION("""COMPUTED_VALUE"""),"Mexico and Hispanic businesses in the U.S.")</f>
        <v>Mexico and Hispanic businesses in the U.S.</v>
      </c>
      <c r="E216" s="58"/>
      <c r="F216" s="59"/>
      <c r="G216" s="60">
        <f>IFERROR(__xludf.DUMMYFUNCTION("""COMPUTED_VALUE"""),1.5E8)</f>
        <v>150000000</v>
      </c>
      <c r="H216" s="60" t="str">
        <f>IFERROR(__xludf.DUMMYFUNCTION("""COMPUTED_VALUE""")," ")</f>
        <v> </v>
      </c>
      <c r="I216" s="61" t="str">
        <f>IFERROR(__xludf.DUMMYFUNCTION("""COMPUTED_VALUE""")," ")</f>
        <v> </v>
      </c>
      <c r="J216" s="62" t="str">
        <f>IFERROR(__xludf.DUMMYFUNCTION("""COMPUTED_VALUE""")," ")</f>
        <v> </v>
      </c>
      <c r="K216" s="59" t="str">
        <f>IFERROR(__xludf.DUMMYFUNCTION("""COMPUTED_VALUE""")," ")</f>
        <v> </v>
      </c>
      <c r="L216" s="63" t="str">
        <f>IFERROR(__xludf.DUMMYFUNCTION("""COMPUTED_VALUE""")," ")</f>
        <v> </v>
      </c>
      <c r="M216" s="64" t="str">
        <f>IFERROR(__xludf.DUMMYFUNCTION("""COMPUTED_VALUE"""),"U: [1/3 W]; W: [1:1, $11.5]")</f>
        <v>U: [1/3 W]; W: [1:1, $11.5]</v>
      </c>
      <c r="N216" s="65" t="str">
        <f>IFERROR(__xludf.DUMMYFUNCTION("""COMPUTED_VALUE"""),"")</f>
        <v/>
      </c>
      <c r="O216" s="66">
        <f>IFERROR(__xludf.DUMMYFUNCTION("""COMPUTED_VALUE"""),0.0)</f>
        <v>0</v>
      </c>
      <c r="P216" s="67"/>
      <c r="Q216" s="68">
        <f>IFERROR(__xludf.DUMMYFUNCTION("""COMPUTED_VALUE"""),150.0)</f>
        <v>150</v>
      </c>
      <c r="R216" s="69" t="str">
        <f>IFERROR(__xludf.DUMMYFUNCTION("""COMPUTED_VALUE"""),"Morgan Stanley, EarlyBirdCapital, Inc.")</f>
        <v>Morgan Stanley, EarlyBirdCapital, Inc.</v>
      </c>
      <c r="S216" s="64">
        <f>IFERROR(__xludf.DUMMYFUNCTION("""COMPUTED_VALUE"""),45086.0)</f>
        <v>45086</v>
      </c>
      <c r="T216" s="70" t="str">
        <f>IFERROR(__xludf.DUMMYFUNCTION("""COMPUTED_VALUE"""),"")</f>
        <v/>
      </c>
      <c r="U216" s="71" t="str">
        <f>IFERROR(__xludf.DUMMYFUNCTION("""COMPUTED_VALUE"""),"https://www.sec.gov/cgi-bin/browse-edgar?CIK=1848052")</f>
        <v>https://www.sec.gov/cgi-bin/browse-edgar?CIK=1848052</v>
      </c>
      <c r="V216" s="72" t="str">
        <f>IFERROR(__xludf.DUMMYFUNCTION("""COMPUTED_VALUE"""),"          Serial Sponsor Top Tier UW ")</f>
        <v>          Serial Sponsor Top Tier UW </v>
      </c>
      <c r="W216" s="73"/>
      <c r="X216" s="74"/>
      <c r="Y216" s="75"/>
      <c r="Z216" s="60"/>
      <c r="AA216" s="60"/>
      <c r="AB216" s="60"/>
      <c r="AC216" s="60"/>
      <c r="AD216" s="73"/>
      <c r="AE216" s="73"/>
      <c r="AF216" s="76"/>
      <c r="AG216" s="60"/>
    </row>
    <row r="217">
      <c r="A217" s="54" t="str">
        <f>IFERROR(__xludf.DUMMYFUNCTION("""COMPUTED_VALUE"""),"DILA")</f>
        <v>DILA</v>
      </c>
      <c r="B217" s="55" t="str">
        <f>IFERROR(__xludf.DUMMYFUNCTION("""COMPUTED_VALUE"""),"Dila Capital Acquisition Corp")</f>
        <v>Dila Capital Acquisition Corp</v>
      </c>
      <c r="C217" s="56" t="str">
        <f>IFERROR(__xludf.DUMMYFUNCTION("""COMPUTED_VALUE"""),"Pre IPO")</f>
        <v>Pre IPO</v>
      </c>
      <c r="D217" s="77" t="str">
        <f>IFERROR(__xludf.DUMMYFUNCTION("""COMPUTED_VALUE"""),"Latin America")</f>
        <v>Latin America</v>
      </c>
      <c r="E217" s="58"/>
      <c r="F217" s="59"/>
      <c r="G217" s="60">
        <f>IFERROR(__xludf.DUMMYFUNCTION("""COMPUTED_VALUE"""),5.0E7)</f>
        <v>50000000</v>
      </c>
      <c r="H217" s="60" t="str">
        <f>IFERROR(__xludf.DUMMYFUNCTION("""COMPUTED_VALUE""")," ")</f>
        <v> </v>
      </c>
      <c r="I217" s="61" t="str">
        <f>IFERROR(__xludf.DUMMYFUNCTION("""COMPUTED_VALUE""")," ")</f>
        <v> </v>
      </c>
      <c r="J217" s="62" t="str">
        <f>IFERROR(__xludf.DUMMYFUNCTION("""COMPUTED_VALUE""")," ")</f>
        <v> </v>
      </c>
      <c r="K217" s="59" t="str">
        <f>IFERROR(__xludf.DUMMYFUNCTION("""COMPUTED_VALUE""")," ")</f>
        <v> </v>
      </c>
      <c r="L217" s="63" t="str">
        <f>IFERROR(__xludf.DUMMYFUNCTION("""COMPUTED_VALUE""")," ")</f>
        <v> </v>
      </c>
      <c r="M217" s="64" t="str">
        <f>IFERROR(__xludf.DUMMYFUNCTION("""COMPUTED_VALUE"""),"U: [1 W]; W: [1:1, $11.5]")</f>
        <v>U: [1 W]; W: [1:1, $11.5]</v>
      </c>
      <c r="N217" s="65" t="str">
        <f>IFERROR(__xludf.DUMMYFUNCTION("""COMPUTED_VALUE"""),"")</f>
        <v/>
      </c>
      <c r="O217" s="66">
        <f>IFERROR(__xludf.DUMMYFUNCTION("""COMPUTED_VALUE"""),0.0)</f>
        <v>0</v>
      </c>
      <c r="P217" s="67"/>
      <c r="Q217" s="68">
        <f>IFERROR(__xludf.DUMMYFUNCTION("""COMPUTED_VALUE"""),50.0)</f>
        <v>50</v>
      </c>
      <c r="R217" s="69" t="str">
        <f>IFERROR(__xludf.DUMMYFUNCTION("""COMPUTED_VALUE"""),"EarlyBirdCapital, Inc.")</f>
        <v>EarlyBirdCapital, Inc.</v>
      </c>
      <c r="S217" s="64">
        <f>IFERROR(__xludf.DUMMYFUNCTION("""COMPUTED_VALUE"""),45086.0)</f>
        <v>45086</v>
      </c>
      <c r="T217" s="70" t="str">
        <f>IFERROR(__xludf.DUMMYFUNCTION("""COMPUTED_VALUE"""),"")</f>
        <v/>
      </c>
      <c r="U217" s="71" t="str">
        <f>IFERROR(__xludf.DUMMYFUNCTION("""COMPUTED_VALUE"""),"https://www.sec.gov/cgi-bin/browse-edgar?CIK=1843608")</f>
        <v>https://www.sec.gov/cgi-bin/browse-edgar?CIK=1843608</v>
      </c>
      <c r="V217" s="72" t="str">
        <f>IFERROR(__xludf.DUMMYFUNCTION("""COMPUTED_VALUE"""),"            ")</f>
        <v>            </v>
      </c>
      <c r="W217" s="73"/>
      <c r="X217" s="74"/>
      <c r="Y217" s="75"/>
      <c r="Z217" s="60"/>
      <c r="AA217" s="60"/>
      <c r="AB217" s="60"/>
      <c r="AC217" s="60"/>
      <c r="AD217" s="73"/>
      <c r="AE217" s="73"/>
      <c r="AF217" s="76"/>
      <c r="AG217" s="60"/>
    </row>
    <row r="218">
      <c r="A218" s="54" t="str">
        <f>IFERROR(__xludf.DUMMYFUNCTION("""COMPUTED_VALUE"""),"DISA")</f>
        <v>DISA</v>
      </c>
      <c r="B218" s="55" t="str">
        <f>IFERROR(__xludf.DUMMYFUNCTION("""COMPUTED_VALUE"""),"Disruptive Acquisition Corp I")</f>
        <v>Disruptive Acquisition Corp I</v>
      </c>
      <c r="C218" s="56" t="str">
        <f>IFERROR(__xludf.DUMMYFUNCTION("""COMPUTED_VALUE"""),"Searching (Pre Unit Split)")</f>
        <v>Searching (Pre Unit Split)</v>
      </c>
      <c r="D218" s="77" t="str">
        <f>IFERROR(__xludf.DUMMYFUNCTION("""COMPUTED_VALUE"""),"Health and wellness, entertainment, and consumer tech")</f>
        <v>Health and wellness, entertainment, and consumer tech</v>
      </c>
      <c r="E218" s="58"/>
      <c r="F218" s="59" t="str">
        <f>IFERROR(__xludf.DUMMYFUNCTION("""COMPUTED_VALUE"""),"Alexander Davis (Founder &amp; CEO of Disruptive and Founding Managing Director of Ten-X), Mardy Fish (Former Professional Tennis Player), Karen Finerman (Co-founder &amp; CEO of Metropolitan Capital Advisors), Galen Smith (CEO of Redbox)")</f>
        <v>Alexander Davis (Founder &amp; CEO of Disruptive and Founding Managing Director of Ten-X), Mardy Fish (Former Professional Tennis Player), Karen Finerman (Co-founder &amp; CEO of Metropolitan Capital Advisors), Galen Smith (CEO of Redbox)</v>
      </c>
      <c r="G218" s="60">
        <f>IFERROR(__xludf.DUMMYFUNCTION("""COMPUTED_VALUE"""),2.5E8)</f>
        <v>250000000</v>
      </c>
      <c r="H218" s="60" t="str">
        <f>IFERROR(__xludf.DUMMYFUNCTION("""COMPUTED_VALUE""")," ")</f>
        <v> </v>
      </c>
      <c r="I218" s="61" t="str">
        <f>IFERROR(__xludf.DUMMYFUNCTION("""COMPUTED_VALUE""")," ")</f>
        <v> </v>
      </c>
      <c r="J218" s="62" t="str">
        <f>IFERROR(__xludf.DUMMYFUNCTION("""COMPUTED_VALUE""")," ")</f>
        <v> </v>
      </c>
      <c r="K218" s="59">
        <f>IFERROR(__xludf.DUMMYFUNCTION("""COMPUTED_VALUE"""),9.97)</f>
        <v>9.97</v>
      </c>
      <c r="L218" s="63" t="str">
        <f>IFERROR(__xludf.DUMMYFUNCTION("""COMPUTED_VALUE""")," ")</f>
        <v> </v>
      </c>
      <c r="M218" s="64" t="str">
        <f>IFERROR(__xludf.DUMMYFUNCTION("""COMPUTED_VALUE"""),"U: [1/3 W]; W: [1:1, $11.5]")</f>
        <v>U: [1/3 W]; W: [1:1, $11.5]</v>
      </c>
      <c r="N218" s="65">
        <f>IFERROR(__xludf.DUMMYFUNCTION("""COMPUTED_VALUE"""),44330.0)</f>
        <v>44330</v>
      </c>
      <c r="O218" s="66">
        <f>IFERROR(__xludf.DUMMYFUNCTION("""COMPUTED_VALUE"""),0.0)</f>
        <v>0</v>
      </c>
      <c r="P218" s="67">
        <f>IFERROR(__xludf.DUMMYFUNCTION("""COMPUTED_VALUE"""),44278.0)</f>
        <v>44278</v>
      </c>
      <c r="Q218" s="68">
        <f>IFERROR(__xludf.DUMMYFUNCTION("""COMPUTED_VALUE"""),250.0)</f>
        <v>250</v>
      </c>
      <c r="R218" s="69" t="str">
        <f>IFERROR(__xludf.DUMMYFUNCTION("""COMPUTED_VALUE"""),"Credit Suisse, Citigroup")</f>
        <v>Credit Suisse, Citigroup</v>
      </c>
      <c r="S218" s="64">
        <f>IFERROR(__xludf.DUMMYFUNCTION("""COMPUTED_VALUE"""),45008.0)</f>
        <v>45008</v>
      </c>
      <c r="T218" s="70">
        <f>IFERROR(__xludf.DUMMYFUNCTION("""COMPUTED_VALUE"""),0.024657534246575342)</f>
        <v>0.02465753425</v>
      </c>
      <c r="U218" s="71" t="str">
        <f>IFERROR(__xludf.DUMMYFUNCTION("""COMPUTED_VALUE"""),"https://www.sec.gov/cgi-bin/browse-edgar?CIK=1838831")</f>
        <v>https://www.sec.gov/cgi-bin/browse-edgar?CIK=1838831</v>
      </c>
      <c r="V218" s="72" t="str">
        <f>IFERROR(__xludf.DUMMYFUNCTION("""COMPUTED_VALUE"""),"           Top Tier UW ")</f>
        <v>           Top Tier UW </v>
      </c>
      <c r="W218" s="73"/>
      <c r="X218" s="74"/>
      <c r="Y218" s="75"/>
      <c r="Z218" s="60"/>
      <c r="AA218" s="60"/>
      <c r="AB218" s="60"/>
      <c r="AC218" s="60"/>
      <c r="AD218" s="73"/>
      <c r="AE218" s="73"/>
      <c r="AF218" s="76"/>
      <c r="AG218" s="60"/>
    </row>
    <row r="219">
      <c r="A219" s="54" t="str">
        <f>IFERROR(__xludf.DUMMYFUNCTION("""COMPUTED_VALUE"""),"DIST")</f>
        <v>DIST</v>
      </c>
      <c r="B219" s="55" t="str">
        <f>IFERROR(__xludf.DUMMYFUNCTION("""COMPUTED_VALUE"""),"Distoken Acquisition Corporation")</f>
        <v>Distoken Acquisition Corporation</v>
      </c>
      <c r="C219" s="56" t="str">
        <f>IFERROR(__xludf.DUMMYFUNCTION("""COMPUTED_VALUE"""),"Pre IPO")</f>
        <v>Pre IPO</v>
      </c>
      <c r="D219" s="77" t="str">
        <f>IFERROR(__xludf.DUMMYFUNCTION("""COMPUTED_VALUE"""),"Tech (Asia)")</f>
        <v>Tech (Asia)</v>
      </c>
      <c r="E219" s="58"/>
      <c r="F219" s="59"/>
      <c r="G219" s="60">
        <f>IFERROR(__xludf.DUMMYFUNCTION("""COMPUTED_VALUE"""),4.0E7)</f>
        <v>40000000</v>
      </c>
      <c r="H219" s="60" t="str">
        <f>IFERROR(__xludf.DUMMYFUNCTION("""COMPUTED_VALUE""")," ")</f>
        <v> </v>
      </c>
      <c r="I219" s="61" t="str">
        <f>IFERROR(__xludf.DUMMYFUNCTION("""COMPUTED_VALUE""")," ")</f>
        <v> </v>
      </c>
      <c r="J219" s="62" t="str">
        <f>IFERROR(__xludf.DUMMYFUNCTION("""COMPUTED_VALUE""")," ")</f>
        <v> </v>
      </c>
      <c r="K219" s="59" t="str">
        <f>IFERROR(__xludf.DUMMYFUNCTION("""COMPUTED_VALUE""")," ")</f>
        <v> </v>
      </c>
      <c r="L219" s="63" t="str">
        <f>IFERROR(__xludf.DUMMYFUNCTION("""COMPUTED_VALUE""")," ")</f>
        <v> </v>
      </c>
      <c r="M219" s="64" t="str">
        <f>IFERROR(__xludf.DUMMYFUNCTION("""COMPUTED_VALUE"""),"U: [1/2 W, 1 R (1/10)]; W: [1:1, $11.5]")</f>
        <v>U: [1/2 W, 1 R (1/10)]; W: [1:1, $11.5]</v>
      </c>
      <c r="N219" s="65" t="str">
        <f>IFERROR(__xludf.DUMMYFUNCTION("""COMPUTED_VALUE"""),"")</f>
        <v/>
      </c>
      <c r="O219" s="66" t="str">
        <f>IFERROR(__xludf.DUMMYFUNCTION("""COMPUTED_VALUE"""),"")</f>
        <v/>
      </c>
      <c r="P219" s="67"/>
      <c r="Q219" s="68">
        <f>IFERROR(__xludf.DUMMYFUNCTION("""COMPUTED_VALUE"""),40.0)</f>
        <v>40</v>
      </c>
      <c r="R219" s="69" t="str">
        <f>IFERROR(__xludf.DUMMYFUNCTION("""COMPUTED_VALUE"""),"EarlyBirdCapital")</f>
        <v>EarlyBirdCapital</v>
      </c>
      <c r="S219" s="64">
        <f>IFERROR(__xludf.DUMMYFUNCTION("""COMPUTED_VALUE"""),45086.0)</f>
        <v>45086</v>
      </c>
      <c r="T219" s="70" t="str">
        <f>IFERROR(__xludf.DUMMYFUNCTION("""COMPUTED_VALUE"""),"")</f>
        <v/>
      </c>
      <c r="U219" s="71" t="str">
        <f>IFERROR(__xludf.DUMMYFUNCTION("""COMPUTED_VALUE"""),"https://www.sec.gov/cgi-bin/browse-edgar?CIK=1818605")</f>
        <v>https://www.sec.gov/cgi-bin/browse-edgar?CIK=1818605</v>
      </c>
      <c r="V219" s="72" t="str">
        <f>IFERROR(__xludf.DUMMYFUNCTION("""COMPUTED_VALUE"""),"       Has Rights     ")</f>
        <v>       Has Rights     </v>
      </c>
      <c r="W219" s="73"/>
      <c r="X219" s="74"/>
      <c r="Y219" s="75"/>
      <c r="Z219" s="60"/>
      <c r="AA219" s="60"/>
      <c r="AB219" s="60"/>
      <c r="AC219" s="60"/>
      <c r="AD219" s="73"/>
      <c r="AE219" s="73"/>
      <c r="AF219" s="76"/>
      <c r="AG219" s="60" t="str">
        <f>IFERROR(__xludf.DUMMYFUNCTION("""COMPUTED_VALUE"""),"")</f>
        <v/>
      </c>
    </row>
    <row r="220">
      <c r="A220" s="54" t="str">
        <f>IFERROR(__xludf.DUMMYFUNCTION("""COMPUTED_VALUE"""),"DKDCA")</f>
        <v>DKDCA</v>
      </c>
      <c r="B220" s="55" t="str">
        <f>IFERROR(__xludf.DUMMYFUNCTION("""COMPUTED_VALUE"""),"Data Knights Acquisition Corp.")</f>
        <v>Data Knights Acquisition Corp.</v>
      </c>
      <c r="C220" s="56" t="str">
        <f>IFERROR(__xludf.DUMMYFUNCTION("""COMPUTED_VALUE"""),"Pre IPO")</f>
        <v>Pre IPO</v>
      </c>
      <c r="D220" s="77" t="str">
        <f>IFERROR(__xludf.DUMMYFUNCTION("""COMPUTED_VALUE"""),"Data Centers, Internet Tech")</f>
        <v>Data Centers, Internet Tech</v>
      </c>
      <c r="E220" s="58"/>
      <c r="F220" s="59"/>
      <c r="G220" s="60">
        <f>IFERROR(__xludf.DUMMYFUNCTION("""COMPUTED_VALUE"""),1.0E8)</f>
        <v>100000000</v>
      </c>
      <c r="H220" s="60" t="str">
        <f>IFERROR(__xludf.DUMMYFUNCTION("""COMPUTED_VALUE""")," ")</f>
        <v> </v>
      </c>
      <c r="I220" s="61" t="str">
        <f>IFERROR(__xludf.DUMMYFUNCTION("""COMPUTED_VALUE""")," ")</f>
        <v> </v>
      </c>
      <c r="J220" s="62" t="str">
        <f>IFERROR(__xludf.DUMMYFUNCTION("""COMPUTED_VALUE""")," ")</f>
        <v> </v>
      </c>
      <c r="K220" s="59" t="str">
        <f>IFERROR(__xludf.DUMMYFUNCTION("""COMPUTED_VALUE""")," ")</f>
        <v> </v>
      </c>
      <c r="L220" s="63" t="str">
        <f>IFERROR(__xludf.DUMMYFUNCTION("""COMPUTED_VALUE""")," ")</f>
        <v> </v>
      </c>
      <c r="M220" s="64" t="str">
        <f>IFERROR(__xludf.DUMMYFUNCTION("""COMPUTED_VALUE"""),"U: [1/2 W 1 R]; W: [1:1, $11.5]")</f>
        <v>U: [1/2 W 1 R]; W: [1:1, $11.5]</v>
      </c>
      <c r="N220" s="65" t="str">
        <f>IFERROR(__xludf.DUMMYFUNCTION("""COMPUTED_VALUE"""),"")</f>
        <v/>
      </c>
      <c r="O220" s="66">
        <f>IFERROR(__xludf.DUMMYFUNCTION("""COMPUTED_VALUE"""),0.0)</f>
        <v>0</v>
      </c>
      <c r="P220" s="67"/>
      <c r="Q220" s="68">
        <f>IFERROR(__xludf.DUMMYFUNCTION("""COMPUTED_VALUE"""),100.0)</f>
        <v>100</v>
      </c>
      <c r="R220" s="69" t="str">
        <f>IFERROR(__xludf.DUMMYFUNCTION("""COMPUTED_VALUE"""),"Kingswood Capital Markets")</f>
        <v>Kingswood Capital Markets</v>
      </c>
      <c r="S220" s="64">
        <f>IFERROR(__xludf.DUMMYFUNCTION("""COMPUTED_VALUE"""),45086.0)</f>
        <v>45086</v>
      </c>
      <c r="T220" s="70" t="str">
        <f>IFERROR(__xludf.DUMMYFUNCTION("""COMPUTED_VALUE"""),"")</f>
        <v/>
      </c>
      <c r="U220" s="71" t="str">
        <f>IFERROR(__xludf.DUMMYFUNCTION("""COMPUTED_VALUE"""),"https://www.sec.gov/cgi-bin/browse-edgar?CIK=1849380")</f>
        <v>https://www.sec.gov/cgi-bin/browse-edgar?CIK=1849380</v>
      </c>
      <c r="V220" s="72" t="str">
        <f>IFERROR(__xludf.DUMMYFUNCTION("""COMPUTED_VALUE"""),"       Rights     ")</f>
        <v>       Rights     </v>
      </c>
      <c r="W220" s="73"/>
      <c r="X220" s="74"/>
      <c r="Y220" s="75"/>
      <c r="Z220" s="60"/>
      <c r="AA220" s="60"/>
      <c r="AB220" s="60"/>
      <c r="AC220" s="60"/>
      <c r="AD220" s="73"/>
      <c r="AE220" s="73"/>
      <c r="AF220" s="76"/>
      <c r="AG220" s="60"/>
    </row>
    <row r="221">
      <c r="A221" s="54" t="str">
        <f>IFERROR(__xludf.DUMMYFUNCTION("""COMPUTED_VALUE"""),"DLCA")</f>
        <v>DLCA</v>
      </c>
      <c r="B221" s="55" t="str">
        <f>IFERROR(__xludf.DUMMYFUNCTION("""COMPUTED_VALUE"""),"Deep Lake Capital Acquisition Corp.")</f>
        <v>Deep Lake Capital Acquisition Corp.</v>
      </c>
      <c r="C221" s="56" t="str">
        <f>IFERROR(__xludf.DUMMYFUNCTION("""COMPUTED_VALUE"""),"Searching")</f>
        <v>Searching</v>
      </c>
      <c r="D221" s="77" t="str">
        <f>IFERROR(__xludf.DUMMYFUNCTION("""COMPUTED_VALUE"""),"FinTech, Ecommerce software, Data and Analytics")</f>
        <v>FinTech, Ecommerce software, Data and Analytics</v>
      </c>
      <c r="E221" s="58"/>
      <c r="F221" s="59" t="str">
        <f>IFERROR(__xludf.DUMMYFUNCTION("""COMPUTED_VALUE"""),"Mark Lavelle (Fmr CEO, Magento Commerce and Bill Me Later), Gary Marino (Fmr CCO, PayPal)")</f>
        <v>Mark Lavelle (Fmr CEO, Magento Commerce and Bill Me Later), Gary Marino (Fmr CCO, PayPal)</v>
      </c>
      <c r="G221" s="60">
        <f>IFERROR(__xludf.DUMMYFUNCTION("""COMPUTED_VALUE"""),2.07E8)</f>
        <v>207000000</v>
      </c>
      <c r="H221" s="60">
        <f>IFERROR(__xludf.DUMMYFUNCTION("""COMPUTED_VALUE"""),2.04516E8)</f>
        <v>204516000</v>
      </c>
      <c r="I221" s="61">
        <f>IFERROR(__xludf.DUMMYFUNCTION("""COMPUTED_VALUE"""),9.88)</f>
        <v>9.88</v>
      </c>
      <c r="J221" s="62">
        <f>IFERROR(__xludf.DUMMYFUNCTION("""COMPUTED_VALUE"""),0.00203)</f>
        <v>0.00203</v>
      </c>
      <c r="K221" s="59">
        <f>IFERROR(__xludf.DUMMYFUNCTION("""COMPUTED_VALUE"""),10.31)</f>
        <v>10.31</v>
      </c>
      <c r="L221" s="63">
        <f>IFERROR(__xludf.DUMMYFUNCTION("""COMPUTED_VALUE"""),0.9)</f>
        <v>0.9</v>
      </c>
      <c r="M221" s="64" t="str">
        <f>IFERROR(__xludf.DUMMYFUNCTION("""COMPUTED_VALUE"""),"U: [1/2 W]; W: [1:1, $11.5]")</f>
        <v>U: [1/2 W]; W: [1:1, $11.5]</v>
      </c>
      <c r="N221" s="65" t="str">
        <f>IFERROR(__xludf.DUMMYFUNCTION("""COMPUTED_VALUE"""),"")</f>
        <v/>
      </c>
      <c r="O221" s="66">
        <f>IFERROR(__xludf.DUMMYFUNCTION("""COMPUTED_VALUE"""),0.0)</f>
        <v>0</v>
      </c>
      <c r="P221" s="67">
        <f>IFERROR(__xludf.DUMMYFUNCTION("""COMPUTED_VALUE"""),44208.0)</f>
        <v>44208</v>
      </c>
      <c r="Q221" s="68">
        <f>IFERROR(__xludf.DUMMYFUNCTION("""COMPUTED_VALUE"""),207.0)</f>
        <v>207</v>
      </c>
      <c r="R221" s="85" t="str">
        <f>IFERROR(__xludf.DUMMYFUNCTION("""COMPUTED_VALUE"""),"Citigroup, Jefferies")</f>
        <v>Citigroup, Jefferies</v>
      </c>
      <c r="S221" s="64">
        <f>IFERROR(__xludf.DUMMYFUNCTION("""COMPUTED_VALUE"""),44938.0)</f>
        <v>44938</v>
      </c>
      <c r="T221" s="70">
        <f>IFERROR(__xludf.DUMMYFUNCTION("""COMPUTED_VALUE"""),0.12054794520547946)</f>
        <v>0.1205479452</v>
      </c>
      <c r="U221" s="71" t="str">
        <f>IFERROR(__xludf.DUMMYFUNCTION("""COMPUTED_VALUE"""),"https://www.sec.gov/cgi-bin/browse-edgar?CIK=1831928")</f>
        <v>https://www.sec.gov/cgi-bin/browse-edgar?CIK=1831928</v>
      </c>
      <c r="V221" s="72" t="str">
        <f>IFERROR(__xludf.DUMMYFUNCTION("""COMPUTED_VALUE""")," Trading Below $10 (Common)          Top Tier UW ")</f>
        <v> Trading Below $10 (Common)          Top Tier UW </v>
      </c>
      <c r="W221" s="73"/>
      <c r="X221" s="74"/>
      <c r="Y221" s="75"/>
      <c r="Z221" s="60"/>
      <c r="AA221" s="60"/>
      <c r="AB221" s="60"/>
      <c r="AC221" s="60"/>
      <c r="AD221" s="73"/>
      <c r="AE221" s="73"/>
      <c r="AF221" s="76"/>
      <c r="AG221" s="60" t="str">
        <f>IFERROR(__xludf.DUMMYFUNCTION("""COMPUTED_VALUE"""),"")</f>
        <v/>
      </c>
    </row>
    <row r="222">
      <c r="A222" s="54" t="str">
        <f>IFERROR(__xludf.DUMMYFUNCTION("""COMPUTED_VALUE"""),"DMYD")</f>
        <v>DMYD</v>
      </c>
      <c r="B222" s="55" t="str">
        <f>IFERROR(__xludf.DUMMYFUNCTION("""COMPUTED_VALUE"""),"dMY Technology Group, Inc. II")</f>
        <v>dMY Technology Group, Inc. II</v>
      </c>
      <c r="C222" s="56" t="str">
        <f>IFERROR(__xludf.DUMMYFUNCTION("""COMPUTED_VALUE"""),"Definitive Agreement")</f>
        <v>Definitive Agreement</v>
      </c>
      <c r="D222" s="77" t="str">
        <f>IFERROR(__xludf.DUMMYFUNCTION("""COMPUTED_VALUE"""),"Mobile Apps, Consumer Internet, Tech")</f>
        <v>Mobile Apps, Consumer Internet, Tech</v>
      </c>
      <c r="E222" s="58" t="str">
        <f>IFERROR(__xludf.DUMMYFUNCTION("""COMPUTED_VALUE"""),"Genius Sports Group [DA: 10/27/20]")</f>
        <v>Genius Sports Group [DA: 10/27/20]</v>
      </c>
      <c r="F222" s="59" t="str">
        <f>IFERROR(__xludf.DUMMYFUNCTION("""COMPUTED_VALUE"""),"Harry You (Former CFO of Oracle and Accenture; Former Exec VP of EMC; Founder of GTY Tech Holdings)")</f>
        <v>Harry You (Former CFO of Oracle and Accenture; Former Exec VP of EMC; Founder of GTY Tech Holdings)</v>
      </c>
      <c r="G222" s="60">
        <f>IFERROR(__xludf.DUMMYFUNCTION("""COMPUTED_VALUE"""),2.76098634E8)</f>
        <v>276098634</v>
      </c>
      <c r="H222" s="60">
        <f>IFERROR(__xludf.DUMMYFUNCTION("""COMPUTED_VALUE"""),5.4234E8)</f>
        <v>542340000</v>
      </c>
      <c r="I222" s="61">
        <f>IFERROR(__xludf.DUMMYFUNCTION("""COMPUTED_VALUE"""),19.65)</f>
        <v>19.65</v>
      </c>
      <c r="J222" s="62">
        <f>IFERROR(__xludf.DUMMYFUNCTION("""COMPUTED_VALUE"""),-0.01057)</f>
        <v>-0.01057</v>
      </c>
      <c r="K222" s="59">
        <f>IFERROR(__xludf.DUMMYFUNCTION("""COMPUTED_VALUE"""),22.06)</f>
        <v>22.06</v>
      </c>
      <c r="L222" s="63">
        <f>IFERROR(__xludf.DUMMYFUNCTION("""COMPUTED_VALUE"""),7.85)</f>
        <v>7.85</v>
      </c>
      <c r="M222" s="64" t="str">
        <f>IFERROR(__xludf.DUMMYFUNCTION("""COMPUTED_VALUE"""),"U: [1/3 W]; W: [1:1, $11.5]")</f>
        <v>U: [1/3 W]; W: [1:1, $11.5]</v>
      </c>
      <c r="N222" s="65" t="str">
        <f>IFERROR(__xludf.DUMMYFUNCTION("""COMPUTED_VALUE"""),"")</f>
        <v/>
      </c>
      <c r="O222" s="66">
        <f>IFERROR(__xludf.DUMMYFUNCTION("""COMPUTED_VALUE"""),8.149999999999999)</f>
        <v>8.15</v>
      </c>
      <c r="P222" s="67">
        <f>IFERROR(__xludf.DUMMYFUNCTION("""COMPUTED_VALUE"""),44056.0)</f>
        <v>44056</v>
      </c>
      <c r="Q222" s="68">
        <f>IFERROR(__xludf.DUMMYFUNCTION("""COMPUTED_VALUE"""),276.0)</f>
        <v>276</v>
      </c>
      <c r="R222" s="85" t="str">
        <f>IFERROR(__xludf.DUMMYFUNCTION("""COMPUTED_VALUE"""),"Goldman Sachs, Needham")</f>
        <v>Goldman Sachs, Needham</v>
      </c>
      <c r="S222" s="64">
        <f>IFERROR(__xludf.DUMMYFUNCTION("""COMPUTED_VALUE"""),44786.0)</f>
        <v>44786</v>
      </c>
      <c r="T222" s="70">
        <f>IFERROR(__xludf.DUMMYFUNCTION("""COMPUTED_VALUE"""),0.3287671232876712)</f>
        <v>0.3287671233</v>
      </c>
      <c r="U222" s="71" t="str">
        <f>IFERROR(__xludf.DUMMYFUNCTION("""COMPUTED_VALUE"""),"https://www.sec.gov/cgi-bin/browse-edgar?CIK=1816101")</f>
        <v>https://www.sec.gov/cgi-bin/browse-edgar?CIK=1816101</v>
      </c>
      <c r="V222" s="72" t="str">
        <f>IFERROR(__xludf.DUMMYFUNCTION("""COMPUTED_VALUE"""),"     Optionable     Serial Sponsor Top Tier UW ")</f>
        <v>     Optionable     Serial Sponsor Top Tier UW </v>
      </c>
      <c r="W222" s="73">
        <f>IFERROR(__xludf.DUMMYFUNCTION("""COMPUTED_VALUE"""),44131.0)</f>
        <v>44131</v>
      </c>
      <c r="X222" s="79">
        <f>IFERROR(__xludf.DUMMYFUNCTION("""COMPUTED_VALUE"""),2.5)</f>
        <v>2.5</v>
      </c>
      <c r="Y222" s="80" t="str">
        <f>IFERROR(__xludf.DUMMYFUNCTION("""COMPUTED_VALUE"""),"https://www.prnewswire.com/news-releases/genius-sports-group-to-go-public-through-combination-with-nyse-listed-dmy-technology-group-ii-301160252.html")</f>
        <v>https://www.prnewswire.com/news-releases/genius-sports-group-to-go-public-through-combination-with-nyse-listed-dmy-technology-group-ii-301160252.html</v>
      </c>
      <c r="Z222" s="81" t="str">
        <f>IFERROR(__xludf.DUMMYFUNCTION("""COMPUTED_VALUE"""),"https://www.sec.gov/Archives/edgar/data/1816101/000119312520277544/d54187dex992.htm")</f>
        <v>https://www.sec.gov/Archives/edgar/data/1816101/000119312520277544/d54187dex992.htm</v>
      </c>
      <c r="AA222" s="60">
        <f>IFERROR(__xludf.DUMMYFUNCTION("""COMPUTED_VALUE"""),3.3E8)</f>
        <v>330000000</v>
      </c>
      <c r="AB222" s="60">
        <f>IFERROR(__xludf.DUMMYFUNCTION("""COMPUTED_VALUE"""),1.677E9)</f>
        <v>1677000000</v>
      </c>
      <c r="AC222" s="60">
        <f>IFERROR(__xludf.DUMMYFUNCTION("""COMPUTED_VALUE"""),1.525E9)</f>
        <v>1525000000</v>
      </c>
      <c r="AD222" s="73">
        <f>IFERROR(__xludf.DUMMYFUNCTION("""COMPUTED_VALUE"""),44302.0)</f>
        <v>44302</v>
      </c>
      <c r="AE222" s="73"/>
      <c r="AF222" s="76">
        <f>IFERROR(__xludf.DUMMYFUNCTION("""COMPUTED_VALUE"""),1.677E8)</f>
        <v>167700000</v>
      </c>
      <c r="AG222" s="60">
        <f>IFERROR(__xludf.DUMMYFUNCTION("""COMPUTED_VALUE"""),3.295305E9)</f>
        <v>3295305000</v>
      </c>
    </row>
    <row r="223">
      <c r="A223" s="54" t="str">
        <f>IFERROR(__xludf.DUMMYFUNCTION("""COMPUTED_VALUE"""),"DMYI")</f>
        <v>DMYI</v>
      </c>
      <c r="B223" s="55" t="str">
        <f>IFERROR(__xludf.DUMMYFUNCTION("""COMPUTED_VALUE"""),"dMY Technology Group, Inc. III")</f>
        <v>dMY Technology Group, Inc. III</v>
      </c>
      <c r="C223" s="56" t="str">
        <f>IFERROR(__xludf.DUMMYFUNCTION("""COMPUTED_VALUE"""),"Definitive Agreement")</f>
        <v>Definitive Agreement</v>
      </c>
      <c r="D223" s="77" t="str">
        <f>IFERROR(__xludf.DUMMYFUNCTION("""COMPUTED_VALUE"""),"Mobile Apps, Consumer Internet, Tech")</f>
        <v>Mobile Apps, Consumer Internet, Tech</v>
      </c>
      <c r="E223" s="58" t="str">
        <f>IFERROR(__xludf.DUMMYFUNCTION("""COMPUTED_VALUE"""),"IonQ [DA: 03/08/21]")</f>
        <v>IonQ [DA: 03/08/21]</v>
      </c>
      <c r="F223" s="59" t="str">
        <f>IFERROR(__xludf.DUMMYFUNCTION("""COMPUTED_VALUE"""),"Niccolo de Masi (CEO of DMYT, DMYD), Harry You (Former CFO of Oracle and Accenture; Former Exec VP of EMC; Founder of GTY Tech Holdings), Darla Anderson (Producer, Netflix; Fmr Producer, Pixar Animation)")</f>
        <v>Niccolo de Masi (CEO of DMYT, DMYD), Harry You (Former CFO of Oracle and Accenture; Former Exec VP of EMC; Founder of GTY Tech Holdings), Darla Anderson (Producer, Netflix; Fmr Producer, Pixar Animation)</v>
      </c>
      <c r="G223" s="60">
        <f>IFERROR(__xludf.DUMMYFUNCTION("""COMPUTED_VALUE"""),3.00030565E8)</f>
        <v>300030565</v>
      </c>
      <c r="H223" s="60">
        <f>IFERROR(__xludf.DUMMYFUNCTION("""COMPUTED_VALUE"""),3.309E8)</f>
        <v>330900000</v>
      </c>
      <c r="I223" s="61">
        <f>IFERROR(__xludf.DUMMYFUNCTION("""COMPUTED_VALUE"""),11.03)</f>
        <v>11.03</v>
      </c>
      <c r="J223" s="62">
        <f>IFERROR(__xludf.DUMMYFUNCTION("""COMPUTED_VALUE"""),0.00273)</f>
        <v>0.00273</v>
      </c>
      <c r="K223" s="59">
        <f>IFERROR(__xludf.DUMMYFUNCTION("""COMPUTED_VALUE"""),11.7492)</f>
        <v>11.7492</v>
      </c>
      <c r="L223" s="63">
        <f>IFERROR(__xludf.DUMMYFUNCTION("""COMPUTED_VALUE"""),2.8)</f>
        <v>2.8</v>
      </c>
      <c r="M223" s="64" t="str">
        <f>IFERROR(__xludf.DUMMYFUNCTION("""COMPUTED_VALUE"""),"U: [1/4 W]; W: [1:1, $11.5]")</f>
        <v>U: [1/4 W]; W: [1:1, $11.5]</v>
      </c>
      <c r="N223" s="65" t="str">
        <f>IFERROR(__xludf.DUMMYFUNCTION("""COMPUTED_VALUE"""),"")</f>
        <v/>
      </c>
      <c r="O223" s="66">
        <f>IFERROR(__xludf.DUMMYFUNCTION("""COMPUTED_VALUE"""),0.0)</f>
        <v>0</v>
      </c>
      <c r="P223" s="67">
        <f>IFERROR(__xludf.DUMMYFUNCTION("""COMPUTED_VALUE"""),44147.0)</f>
        <v>44147</v>
      </c>
      <c r="Q223" s="68">
        <f>IFERROR(__xludf.DUMMYFUNCTION("""COMPUTED_VALUE"""),300.0)</f>
        <v>300</v>
      </c>
      <c r="R223" s="85" t="str">
        <f>IFERROR(__xludf.DUMMYFUNCTION("""COMPUTED_VALUE"""),"Goldman Sachs")</f>
        <v>Goldman Sachs</v>
      </c>
      <c r="S223" s="64">
        <f>IFERROR(__xludf.DUMMYFUNCTION("""COMPUTED_VALUE"""),44877.0)</f>
        <v>44877</v>
      </c>
      <c r="T223" s="70">
        <f>IFERROR(__xludf.DUMMYFUNCTION("""COMPUTED_VALUE"""),0.20410958904109588)</f>
        <v>0.204109589</v>
      </c>
      <c r="U223" s="71" t="str">
        <f>IFERROR(__xludf.DUMMYFUNCTION("""COMPUTED_VALUE"""),"https://www.sec.gov/cgi-bin/browse-edgar?CIK=1824920")</f>
        <v>https://www.sec.gov/cgi-bin/browse-edgar?CIK=1824920</v>
      </c>
      <c r="V223" s="72" t="str">
        <f>IFERROR(__xludf.DUMMYFUNCTION("""COMPUTED_VALUE"""),"     Optionable     Serial Sponsor Top Tier UW ")</f>
        <v>     Optionable     Serial Sponsor Top Tier UW </v>
      </c>
      <c r="W223" s="73">
        <f>IFERROR(__xludf.DUMMYFUNCTION("""COMPUTED_VALUE"""),44263.0)</f>
        <v>44263</v>
      </c>
      <c r="X223" s="79">
        <f>IFERROR(__xludf.DUMMYFUNCTION("""COMPUTED_VALUE"""),3.8666666666666667)</f>
        <v>3.866666667</v>
      </c>
      <c r="Y223" s="80" t="str">
        <f>IFERROR(__xludf.DUMMYFUNCTION("""COMPUTED_VALUE"""),"https://www.businesswire.com/news/home/20210308005321/en/IonQ-To-Become-The-First-Publicly-Traded-Pure-Play-Quantum-Computing-Company/?feedref=JjAwJuNHiystnCoBq_hl-YP0UCfaTS5iGFCz-Ed_Uxqqcp-o_pnudlUwsb5apQ1S4gUE65BTfjH3-pSuqdv0gW3cb3F4oTIgUqCPafFkgu7j7dd_"&amp;"xWveGuB-FIaWwfcR")</f>
        <v>https://www.businesswire.com/news/home/20210308005321/en/IonQ-To-Become-The-First-Publicly-Traded-Pure-Play-Quantum-Computing-Company/?feedref=JjAwJuNHiystnCoBq_hl-YP0UCfaTS5iGFCz-Ed_Uxqqcp-o_pnudlUwsb5apQ1S4gUE65BTfjH3-pSuqdv0gW3cb3F4oTIgUqCPafFkgu7j7dd_xWveGuB-FIaWwfcR</v>
      </c>
      <c r="Z223" s="81" t="str">
        <f>IFERROR(__xludf.DUMMYFUNCTION("""COMPUTED_VALUE"""),"https://www.sec.gov/Archives/edgar/data/1824920/000119312521072373/d142872dex992.htm")</f>
        <v>https://www.sec.gov/Archives/edgar/data/1824920/000119312521072373/d142872dex992.htm</v>
      </c>
      <c r="AA223" s="60">
        <f>IFERROR(__xludf.DUMMYFUNCTION("""COMPUTED_VALUE"""),3.5E8)</f>
        <v>350000000</v>
      </c>
      <c r="AB223" s="60">
        <f>IFERROR(__xludf.DUMMYFUNCTION("""COMPUTED_VALUE"""),1.993E9)</f>
        <v>1993000000</v>
      </c>
      <c r="AC223" s="60">
        <f>IFERROR(__xludf.DUMMYFUNCTION("""COMPUTED_VALUE"""),1.377E9)</f>
        <v>1377000000</v>
      </c>
      <c r="AD223" s="73"/>
      <c r="AE223" s="73"/>
      <c r="AF223" s="76">
        <f>IFERROR(__xludf.DUMMYFUNCTION("""COMPUTED_VALUE"""),1.993E8)</f>
        <v>199300000</v>
      </c>
      <c r="AG223" s="60">
        <f>IFERROR(__xludf.DUMMYFUNCTION("""COMPUTED_VALUE"""),2.198279E9)</f>
        <v>2198279000</v>
      </c>
    </row>
    <row r="224">
      <c r="A224" s="54" t="str">
        <f>IFERROR(__xludf.DUMMYFUNCTION("""COMPUTED_VALUE"""),"DMYQ")</f>
        <v>DMYQ</v>
      </c>
      <c r="B224" s="55" t="str">
        <f>IFERROR(__xludf.DUMMYFUNCTION("""COMPUTED_VALUE"""),"dMY Technology Group, Inc. IV")</f>
        <v>dMY Technology Group, Inc. IV</v>
      </c>
      <c r="C224" s="56" t="str">
        <f>IFERROR(__xludf.DUMMYFUNCTION("""COMPUTED_VALUE"""),"Searching (Pre Unit Split)")</f>
        <v>Searching (Pre Unit Split)</v>
      </c>
      <c r="D224" s="77" t="str">
        <f>IFERROR(__xludf.DUMMYFUNCTION("""COMPUTED_VALUE"""),"Mobile Apps, Consumer Internet, Tech")</f>
        <v>Mobile Apps, Consumer Internet, Tech</v>
      </c>
      <c r="E224" s="58"/>
      <c r="F224" s="59" t="str">
        <f>IFERROR(__xludf.DUMMYFUNCTION("""COMPUTED_VALUE"""),"Harry You (Fmr CFO, Oracle; Founder, GTY Technology), Niccolo de Masi (Chairman/Fmr CEO, Glu; CEO, dMY Technology Group III), Darla Anderson (Academy Award winner; Film Producer, Netflix; Fmr Film Producer, Pixar Animation Studio— produced “Coco”, “Toy St"&amp;"ory 3”, “Monsters; Inc.”)")</f>
        <v>Harry You (Fmr CFO, Oracle; Founder, GTY Technology), Niccolo de Masi (Chairman/Fmr CEO, Glu; CEO, dMY Technology Group III), Darla Anderson (Academy Award winner; Film Producer, Netflix; Fmr Film Producer, Pixar Animation Studio— produced “Coco”, “Toy Story 3”, “Monsters; Inc.”)</v>
      </c>
      <c r="G224" s="60">
        <f>IFERROR(__xludf.DUMMYFUNCTION("""COMPUTED_VALUE"""),3.45E8)</f>
        <v>345000000</v>
      </c>
      <c r="H224" s="60" t="str">
        <f>IFERROR(__xludf.DUMMYFUNCTION("""COMPUTED_VALUE""")," ")</f>
        <v> </v>
      </c>
      <c r="I224" s="61" t="str">
        <f>IFERROR(__xludf.DUMMYFUNCTION("""COMPUTED_VALUE""")," ")</f>
        <v> </v>
      </c>
      <c r="J224" s="62" t="str">
        <f>IFERROR(__xludf.DUMMYFUNCTION("""COMPUTED_VALUE""")," ")</f>
        <v> </v>
      </c>
      <c r="K224" s="59">
        <f>IFERROR(__xludf.DUMMYFUNCTION("""COMPUTED_VALUE"""),10.15)</f>
        <v>10.15</v>
      </c>
      <c r="L224" s="63" t="str">
        <f>IFERROR(__xludf.DUMMYFUNCTION("""COMPUTED_VALUE""")," ")</f>
        <v> </v>
      </c>
      <c r="M224" s="64" t="str">
        <f>IFERROR(__xludf.DUMMYFUNCTION("""COMPUTED_VALUE"""),"U: [1/5 W]; W: [1:1, $11.5]")</f>
        <v>U: [1/5 W]; W: [1:1, $11.5]</v>
      </c>
      <c r="N224" s="65">
        <f>IFERROR(__xludf.DUMMYFUNCTION("""COMPUTED_VALUE"""),44311.0)</f>
        <v>44311</v>
      </c>
      <c r="O224" s="66" t="str">
        <f>IFERROR(__xludf.DUMMYFUNCTION("""COMPUTED_VALUE"""),"")</f>
        <v/>
      </c>
      <c r="P224" s="67">
        <f>IFERROR(__xludf.DUMMYFUNCTION("""COMPUTED_VALUE"""),44259.0)</f>
        <v>44259</v>
      </c>
      <c r="Q224" s="68">
        <f>IFERROR(__xludf.DUMMYFUNCTION("""COMPUTED_VALUE"""),345.0)</f>
        <v>345</v>
      </c>
      <c r="R224" s="85" t="str">
        <f>IFERROR(__xludf.DUMMYFUNCTION("""COMPUTED_VALUE"""),"Goldman Sachs &amp; Co. LLC")</f>
        <v>Goldman Sachs &amp; Co. LLC</v>
      </c>
      <c r="S224" s="64">
        <f>IFERROR(__xludf.DUMMYFUNCTION("""COMPUTED_VALUE"""),44989.0)</f>
        <v>44989</v>
      </c>
      <c r="T224" s="70">
        <f>IFERROR(__xludf.DUMMYFUNCTION("""COMPUTED_VALUE"""),0.050684931506849315)</f>
        <v>0.05068493151</v>
      </c>
      <c r="U224" s="71" t="str">
        <f>IFERROR(__xludf.DUMMYFUNCTION("""COMPUTED_VALUE"""),"https://www.sec.gov/cgi-bin/browse-edgar?CIK=1836833")</f>
        <v>https://www.sec.gov/cgi-bin/browse-edgar?CIK=1836833</v>
      </c>
      <c r="V224" s="72" t="str">
        <f>IFERROR(__xludf.DUMMYFUNCTION("""COMPUTED_VALUE"""),"          Serial Sponsor Top Tier UW ")</f>
        <v>          Serial Sponsor Top Tier UW </v>
      </c>
      <c r="W224" s="73"/>
      <c r="X224" s="74"/>
      <c r="Y224" s="75"/>
      <c r="Z224" s="60"/>
      <c r="AA224" s="60"/>
      <c r="AB224" s="60"/>
      <c r="AC224" s="60"/>
      <c r="AD224" s="73"/>
      <c r="AE224" s="73"/>
      <c r="AF224" s="76"/>
      <c r="AG224" s="60"/>
    </row>
    <row r="225">
      <c r="A225" s="54" t="str">
        <f>IFERROR(__xludf.DUMMYFUNCTION("""COMPUTED_VALUE"""),"DNZ")</f>
        <v>DNZ</v>
      </c>
      <c r="B225" s="55" t="str">
        <f>IFERROR(__xludf.DUMMYFUNCTION("""COMPUTED_VALUE"""),"D and Z Media Acquisition Corp.")</f>
        <v>D and Z Media Acquisition Corp.</v>
      </c>
      <c r="C225" s="56" t="str">
        <f>IFERROR(__xludf.DUMMYFUNCTION("""COMPUTED_VALUE"""),"Searching")</f>
        <v>Searching</v>
      </c>
      <c r="D225" s="57" t="str">
        <f>IFERROR(__xludf.DUMMYFUNCTION("""COMPUTED_VALUE"""),"Media, EdTech")</f>
        <v>Media, EdTech</v>
      </c>
      <c r="E225" s="58"/>
      <c r="F225" s="59" t="str">
        <f>IFERROR(__xludf.DUMMYFUNCTION("""COMPUTED_VALUE"""),"Betty Liu (Fmr Exec Vice Chairman, NYSE; Anchor/Editor-at-large, Bloomberg Television and Radio), Brian Grazer (Film and Television Producer), Matt Blank (Fmr CEO, Showtime Networks), Daniel Rosensweig (CEO, Chegg)")</f>
        <v>Betty Liu (Fmr Exec Vice Chairman, NYSE; Anchor/Editor-at-large, Bloomberg Television and Radio), Brian Grazer (Film and Television Producer), Matt Blank (Fmr CEO, Showtime Networks), Daniel Rosensweig (CEO, Chegg)</v>
      </c>
      <c r="G225" s="60">
        <f>IFERROR(__xludf.DUMMYFUNCTION("""COMPUTED_VALUE"""),2.875E8)</f>
        <v>287500000</v>
      </c>
      <c r="H225" s="60"/>
      <c r="I225" s="61">
        <f>IFERROR(__xludf.DUMMYFUNCTION("""COMPUTED_VALUE"""),9.89)</f>
        <v>9.89</v>
      </c>
      <c r="J225" s="62">
        <f>IFERROR(__xludf.DUMMYFUNCTION("""COMPUTED_VALUE"""),0.01959)</f>
        <v>0.01959</v>
      </c>
      <c r="K225" s="59">
        <f>IFERROR(__xludf.DUMMYFUNCTION("""COMPUTED_VALUE"""),10.06)</f>
        <v>10.06</v>
      </c>
      <c r="L225" s="63">
        <f>IFERROR(__xludf.DUMMYFUNCTION("""COMPUTED_VALUE"""),0.68)</f>
        <v>0.68</v>
      </c>
      <c r="M225" s="64" t="str">
        <f>IFERROR(__xludf.DUMMYFUNCTION("""COMPUTED_VALUE"""),"U: [1/3 W]; W: [1:1, $11.5]")</f>
        <v>U: [1/3 W]; W: [1:1, $11.5]</v>
      </c>
      <c r="N225" s="65" t="str">
        <f>IFERROR(__xludf.DUMMYFUNCTION("""COMPUTED_VALUE"""),"")</f>
        <v/>
      </c>
      <c r="O225" s="66">
        <f>IFERROR(__xludf.DUMMYFUNCTION("""COMPUTED_VALUE"""),0.0)</f>
        <v>0</v>
      </c>
      <c r="P225" s="67">
        <f>IFERROR(__xludf.DUMMYFUNCTION("""COMPUTED_VALUE"""),44222.0)</f>
        <v>44222</v>
      </c>
      <c r="Q225" s="68">
        <f>IFERROR(__xludf.DUMMYFUNCTION("""COMPUTED_VALUE"""),287.5)</f>
        <v>287.5</v>
      </c>
      <c r="R225" s="85" t="str">
        <f>IFERROR(__xludf.DUMMYFUNCTION("""COMPUTED_VALUE"""),"Goldman Sachs, Loop Capital Markets")</f>
        <v>Goldman Sachs, Loop Capital Markets</v>
      </c>
      <c r="S225" s="64">
        <f>IFERROR(__xludf.DUMMYFUNCTION("""COMPUTED_VALUE"""),44952.0)</f>
        <v>44952</v>
      </c>
      <c r="T225" s="70">
        <f>IFERROR(__xludf.DUMMYFUNCTION("""COMPUTED_VALUE"""),0.10136986301369863)</f>
        <v>0.101369863</v>
      </c>
      <c r="U225" s="71" t="str">
        <f>IFERROR(__xludf.DUMMYFUNCTION("""COMPUTED_VALUE"""),"https://www.sec.gov/cgi-bin/browse-edgar?CIK=1830374")</f>
        <v>https://www.sec.gov/cgi-bin/browse-edgar?CIK=1830374</v>
      </c>
      <c r="V225" s="72" t="str">
        <f>IFERROR(__xludf.DUMMYFUNCTION("""COMPUTED_VALUE""")," Trading Below $10 (Common)          Top Tier UW ")</f>
        <v> Trading Below $10 (Common)          Top Tier UW </v>
      </c>
      <c r="W225" s="73"/>
      <c r="X225" s="74"/>
      <c r="Y225" s="75"/>
      <c r="Z225" s="60"/>
      <c r="AA225" s="60"/>
      <c r="AB225" s="60"/>
      <c r="AC225" s="60"/>
      <c r="AD225" s="73"/>
      <c r="AE225" s="73"/>
      <c r="AF225" s="76"/>
      <c r="AG225" s="60" t="str">
        <f>IFERROR(__xludf.DUMMYFUNCTION("""COMPUTED_VALUE"""),"")</f>
        <v/>
      </c>
    </row>
    <row r="226">
      <c r="A226" s="54" t="str">
        <f>IFERROR(__xludf.DUMMYFUNCTION("""COMPUTED_VALUE"""),"DOIT")</f>
        <v>DOIT</v>
      </c>
      <c r="B226" s="55" t="str">
        <f>IFERROR(__xludf.DUMMYFUNCTION("""COMPUTED_VALUE"""),"Do It Again Corp.")</f>
        <v>Do It Again Corp.</v>
      </c>
      <c r="C226" s="56" t="str">
        <f>IFERROR(__xludf.DUMMYFUNCTION("""COMPUTED_VALUE"""),"Pre IPO")</f>
        <v>Pre IPO</v>
      </c>
      <c r="D226" s="77" t="str">
        <f>IFERROR(__xludf.DUMMYFUNCTION("""COMPUTED_VALUE"""),"Restaurant, food-related, and franchise")</f>
        <v>Restaurant, food-related, and franchise</v>
      </c>
      <c r="E226" s="58"/>
      <c r="F226" s="59" t="str">
        <f>IFERROR(__xludf.DUMMYFUNCTION("""COMPUTED_VALUE"""),"Clifford Hudson (Former Chairman &amp; CEO of Sonic Corp), Sid Feltenstein (Former CMO of Dunkin’ Donuts, Founder of Sagittarius Brands, and Director of Captain D’s, Fazioli’s, Hooters, The Honey Baked Ham Company, Newk’s Eatery, and TGI Friday’s), Kate Lavel"&amp;"le (Former CFO of Dunkin’ Brands)")</f>
        <v>Clifford Hudson (Former Chairman &amp; CEO of Sonic Corp), Sid Feltenstein (Former CMO of Dunkin’ Donuts, Founder of Sagittarius Brands, and Director of Captain D’s, Fazioli’s, Hooters, The Honey Baked Ham Company, Newk’s Eatery, and TGI Friday’s), Kate Lavelle (Former CFO of Dunkin’ Brands)</v>
      </c>
      <c r="G226" s="60">
        <f>IFERROR(__xludf.DUMMYFUNCTION("""COMPUTED_VALUE"""),1.25E8)</f>
        <v>125000000</v>
      </c>
      <c r="H226" s="60" t="str">
        <f>IFERROR(__xludf.DUMMYFUNCTION("""COMPUTED_VALUE""")," ")</f>
        <v> </v>
      </c>
      <c r="I226" s="61" t="str">
        <f>IFERROR(__xludf.DUMMYFUNCTION("""COMPUTED_VALUE""")," ")</f>
        <v> </v>
      </c>
      <c r="J226" s="62" t="str">
        <f>IFERROR(__xludf.DUMMYFUNCTION("""COMPUTED_VALUE""")," ")</f>
        <v> </v>
      </c>
      <c r="K226" s="59" t="str">
        <f>IFERROR(__xludf.DUMMYFUNCTION("""COMPUTED_VALUE""")," ")</f>
        <v> </v>
      </c>
      <c r="L226" s="63" t="str">
        <f>IFERROR(__xludf.DUMMYFUNCTION("""COMPUTED_VALUE""")," ")</f>
        <v> </v>
      </c>
      <c r="M226" s="64" t="str">
        <f>IFERROR(__xludf.DUMMYFUNCTION("""COMPUTED_VALUE"""),"U: [1/3 W]; W: [1:1, $11.5]")</f>
        <v>U: [1/3 W]; W: [1:1, $11.5]</v>
      </c>
      <c r="N226" s="65" t="str">
        <f>IFERROR(__xludf.DUMMYFUNCTION("""COMPUTED_VALUE"""),"")</f>
        <v/>
      </c>
      <c r="O226" s="66">
        <f>IFERROR(__xludf.DUMMYFUNCTION("""COMPUTED_VALUE"""),0.0)</f>
        <v>0</v>
      </c>
      <c r="P226" s="67"/>
      <c r="Q226" s="68">
        <f>IFERROR(__xludf.DUMMYFUNCTION("""COMPUTED_VALUE"""),125.0)</f>
        <v>125</v>
      </c>
      <c r="R226" s="85" t="str">
        <f>IFERROR(__xludf.DUMMYFUNCTION("""COMPUTED_VALUE"""),"Guggenheim Securities")</f>
        <v>Guggenheim Securities</v>
      </c>
      <c r="S226" s="64">
        <f>IFERROR(__xludf.DUMMYFUNCTION("""COMPUTED_VALUE"""),45086.0)</f>
        <v>45086</v>
      </c>
      <c r="T226" s="70" t="str">
        <f>IFERROR(__xludf.DUMMYFUNCTION("""COMPUTED_VALUE"""),"")</f>
        <v/>
      </c>
      <c r="U226" s="71" t="str">
        <f>IFERROR(__xludf.DUMMYFUNCTION("""COMPUTED_VALUE"""),"https://www.sec.gov/cgi-bin/browse-edgar?CIK=1847573")</f>
        <v>https://www.sec.gov/cgi-bin/browse-edgar?CIK=1847573</v>
      </c>
      <c r="V226" s="72" t="str">
        <f>IFERROR(__xludf.DUMMYFUNCTION("""COMPUTED_VALUE"""),"         Well-known Sponsor   ")</f>
        <v>         Well-known Sponsor   </v>
      </c>
      <c r="W226" s="73"/>
      <c r="X226" s="74"/>
      <c r="Y226" s="75"/>
      <c r="Z226" s="60"/>
      <c r="AA226" s="60"/>
      <c r="AB226" s="60"/>
      <c r="AC226" s="60"/>
      <c r="AD226" s="73"/>
      <c r="AE226" s="73"/>
      <c r="AF226" s="76"/>
      <c r="AG226" s="60"/>
    </row>
    <row r="227">
      <c r="A227" s="54" t="str">
        <f>IFERROR(__xludf.DUMMYFUNCTION("""COMPUTED_VALUE"""),"DSAC")</f>
        <v>DSAC</v>
      </c>
      <c r="B227" s="55" t="str">
        <f>IFERROR(__xludf.DUMMYFUNCTION("""COMPUTED_VALUE"""),"Duddell Street Acquisition Corp. ")</f>
        <v>Duddell Street Acquisition Corp. </v>
      </c>
      <c r="C227" s="56" t="str">
        <f>IFERROR(__xludf.DUMMYFUNCTION("""COMPUTED_VALUE"""),"Searching")</f>
        <v>Searching</v>
      </c>
      <c r="D227" s="57" t="str">
        <f>IFERROR(__xludf.DUMMYFUNCTION("""COMPUTED_VALUE"""),"TMT (Tech, Media, Telecom), healthcare, fintech, consumer (Asia-growth potential)")</f>
        <v>TMT (Tech, Media, Telecom), healthcare, fintech, consumer (Asia-growth potential)</v>
      </c>
      <c r="E227" s="58"/>
      <c r="F227" s="59"/>
      <c r="G227" s="60">
        <f>IFERROR(__xludf.DUMMYFUNCTION("""COMPUTED_VALUE"""),1.75E8)</f>
        <v>175000000</v>
      </c>
      <c r="H227" s="60">
        <f>IFERROR(__xludf.DUMMYFUNCTION("""COMPUTED_VALUE"""),1.78325E8)</f>
        <v>178325000</v>
      </c>
      <c r="I227" s="61">
        <f>IFERROR(__xludf.DUMMYFUNCTION("""COMPUTED_VALUE"""),10.19)</f>
        <v>10.19</v>
      </c>
      <c r="J227" s="62">
        <f>IFERROR(__xludf.DUMMYFUNCTION("""COMPUTED_VALUE"""),0.01393)</f>
        <v>0.01393</v>
      </c>
      <c r="K227" s="59">
        <f>IFERROR(__xludf.DUMMYFUNCTION("""COMPUTED_VALUE"""),10.75)</f>
        <v>10.75</v>
      </c>
      <c r="L227" s="63">
        <f>IFERROR(__xludf.DUMMYFUNCTION("""COMPUTED_VALUE"""),1.7)</f>
        <v>1.7</v>
      </c>
      <c r="M227" s="64" t="str">
        <f>IFERROR(__xludf.DUMMYFUNCTION("""COMPUTED_VALUE"""),"U: [1/2 W]; W: [1:1, $11.5]")</f>
        <v>U: [1/2 W]; W: [1:1, $11.5]</v>
      </c>
      <c r="N227" s="65" t="str">
        <f>IFERROR(__xludf.DUMMYFUNCTION("""COMPUTED_VALUE"""),"")</f>
        <v/>
      </c>
      <c r="O227" s="66">
        <f>IFERROR(__xludf.DUMMYFUNCTION("""COMPUTED_VALUE"""),0.0)</f>
        <v>0</v>
      </c>
      <c r="P227" s="67">
        <f>IFERROR(__xludf.DUMMYFUNCTION("""COMPUTED_VALUE"""),44132.0)</f>
        <v>44132</v>
      </c>
      <c r="Q227" s="68">
        <f>IFERROR(__xludf.DUMMYFUNCTION("""COMPUTED_VALUE"""),175.0)</f>
        <v>175</v>
      </c>
      <c r="R227" s="69" t="str">
        <f>IFERROR(__xludf.DUMMYFUNCTION("""COMPUTED_VALUE"""),"BofA Securities")</f>
        <v>BofA Securities</v>
      </c>
      <c r="S227" s="64">
        <f>IFERROR(__xludf.DUMMYFUNCTION("""COMPUTED_VALUE"""),44862.0)</f>
        <v>44862</v>
      </c>
      <c r="T227" s="70">
        <f>IFERROR(__xludf.DUMMYFUNCTION("""COMPUTED_VALUE"""),0.22465753424657534)</f>
        <v>0.2246575342</v>
      </c>
      <c r="U227" s="71" t="str">
        <f>IFERROR(__xludf.DUMMYFUNCTION("""COMPUTED_VALUE"""),"https://www.sec.gov/cgi-bin/browse-edgar?CIK=1823466")</f>
        <v>https://www.sec.gov/cgi-bin/browse-edgar?CIK=1823466</v>
      </c>
      <c r="V227" s="72" t="str">
        <f>IFERROR(__xludf.DUMMYFUNCTION("""COMPUTED_VALUE"""),"           Top Tier UW ")</f>
        <v>           Top Tier UW </v>
      </c>
      <c r="W227" s="73"/>
      <c r="X227" s="74"/>
      <c r="Y227" s="75"/>
      <c r="Z227" s="60"/>
      <c r="AA227" s="60"/>
      <c r="AB227" s="60"/>
      <c r="AC227" s="60"/>
      <c r="AD227" s="73"/>
      <c r="AE227" s="73"/>
      <c r="AF227" s="76"/>
      <c r="AG227" s="60" t="str">
        <f>IFERROR(__xludf.DUMMYFUNCTION("""COMPUTED_VALUE"""),"")</f>
        <v/>
      </c>
    </row>
    <row r="228">
      <c r="A228" s="54" t="str">
        <f>IFERROR(__xludf.DUMMYFUNCTION("""COMPUTED_VALUE"""),"DSPQ")</f>
        <v>DSPQ</v>
      </c>
      <c r="B228" s="55" t="str">
        <f>IFERROR(__xludf.DUMMYFUNCTION("""COMPUTED_VALUE"""),"Denham Sustainable Performance Acquisition Corp.")</f>
        <v>Denham Sustainable Performance Acquisition Corp.</v>
      </c>
      <c r="C228" s="56" t="str">
        <f>IFERROR(__xludf.DUMMYFUNCTION("""COMPUTED_VALUE"""),"Pre IPO")</f>
        <v>Pre IPO</v>
      </c>
      <c r="D228" s="57" t="str">
        <f>IFERROR(__xludf.DUMMYFUNCTION("""COMPUTED_VALUE"""),"Energy Transition")</f>
        <v>Energy Transition</v>
      </c>
      <c r="E228" s="58"/>
      <c r="F228" s="59"/>
      <c r="G228" s="60">
        <f>IFERROR(__xludf.DUMMYFUNCTION("""COMPUTED_VALUE"""),2.0E8)</f>
        <v>200000000</v>
      </c>
      <c r="H228" s="60" t="str">
        <f>IFERROR(__xludf.DUMMYFUNCTION("""COMPUTED_VALUE""")," ")</f>
        <v> </v>
      </c>
      <c r="I228" s="61" t="str">
        <f>IFERROR(__xludf.DUMMYFUNCTION("""COMPUTED_VALUE""")," ")</f>
        <v> </v>
      </c>
      <c r="J228" s="62" t="str">
        <f>IFERROR(__xludf.DUMMYFUNCTION("""COMPUTED_VALUE""")," ")</f>
        <v> </v>
      </c>
      <c r="K228" s="59" t="str">
        <f>IFERROR(__xludf.DUMMYFUNCTION("""COMPUTED_VALUE""")," ")</f>
        <v> </v>
      </c>
      <c r="L228" s="63" t="str">
        <f>IFERROR(__xludf.DUMMYFUNCTION("""COMPUTED_VALUE""")," ")</f>
        <v> </v>
      </c>
      <c r="M228" s="64" t="str">
        <f>IFERROR(__xludf.DUMMYFUNCTION("""COMPUTED_VALUE"""),"U: [1/3 W]; W: [1:1, $11.5]")</f>
        <v>U: [1/3 W]; W: [1:1, $11.5]</v>
      </c>
      <c r="N228" s="65" t="str">
        <f>IFERROR(__xludf.DUMMYFUNCTION("""COMPUTED_VALUE"""),"")</f>
        <v/>
      </c>
      <c r="O228" s="66">
        <f>IFERROR(__xludf.DUMMYFUNCTION("""COMPUTED_VALUE"""),0.0)</f>
        <v>0</v>
      </c>
      <c r="P228" s="67"/>
      <c r="Q228" s="68">
        <f>IFERROR(__xludf.DUMMYFUNCTION("""COMPUTED_VALUE"""),200.0)</f>
        <v>200</v>
      </c>
      <c r="R228" s="85" t="str">
        <f>IFERROR(__xludf.DUMMYFUNCTION("""COMPUTED_VALUE"""),"UBS Investment Bank, Cowen, Intrepid Partners")</f>
        <v>UBS Investment Bank, Cowen, Intrepid Partners</v>
      </c>
      <c r="S228" s="64">
        <f>IFERROR(__xludf.DUMMYFUNCTION("""COMPUTED_VALUE"""),45086.0)</f>
        <v>45086</v>
      </c>
      <c r="T228" s="70" t="str">
        <f>IFERROR(__xludf.DUMMYFUNCTION("""COMPUTED_VALUE"""),"")</f>
        <v/>
      </c>
      <c r="U228" s="71" t="str">
        <f>IFERROR(__xludf.DUMMYFUNCTION("""COMPUTED_VALUE"""),"https://www.sec.gov/cgi-bin/browse-edgar?CIK=1848694")</f>
        <v>https://www.sec.gov/cgi-bin/browse-edgar?CIK=1848694</v>
      </c>
      <c r="V228" s="72" t="str">
        <f>IFERROR(__xludf.DUMMYFUNCTION("""COMPUTED_VALUE"""),"Sustainability            ")</f>
        <v>Sustainability            </v>
      </c>
      <c r="W228" s="73"/>
      <c r="X228" s="74"/>
      <c r="Y228" s="75"/>
      <c r="Z228" s="60"/>
      <c r="AA228" s="60"/>
      <c r="AB228" s="60"/>
      <c r="AC228" s="60"/>
      <c r="AD228" s="73"/>
      <c r="AE228" s="73"/>
      <c r="AF228" s="76"/>
      <c r="AG228" s="60"/>
    </row>
    <row r="229">
      <c r="A229" s="54" t="str">
        <f>IFERROR(__xludf.DUMMYFUNCTION("""COMPUTED_VALUE"""),"DTOC")</f>
        <v>DTOC</v>
      </c>
      <c r="B229" s="55" t="str">
        <f>IFERROR(__xludf.DUMMYFUNCTION("""COMPUTED_VALUE"""),"Digital Transformation Opportunities Corp.")</f>
        <v>Digital Transformation Opportunities Corp.</v>
      </c>
      <c r="C229" s="56" t="str">
        <f>IFERROR(__xludf.DUMMYFUNCTION("""COMPUTED_VALUE"""),"Searching (Pre Unit Split)")</f>
        <v>Searching (Pre Unit Split)</v>
      </c>
      <c r="D229" s="77" t="str">
        <f>IFERROR(__xludf.DUMMYFUNCTION("""COMPUTED_VALUE"""),"Healthcare Tech")</f>
        <v>Healthcare Tech</v>
      </c>
      <c r="E229" s="58"/>
      <c r="F229" s="59" t="str">
        <f>IFERROR(__xludf.DUMMYFUNCTION("""COMPUTED_VALUE"""),"Kevin Nazemi (Fmr Co-CEO, Oscar Health), Bradley Fluegel (Fmr Chief Strategy Officer, Walgreens &amp; Anthem), Jim Moffatt (Fmr Vice Chairman/Global CEO, Deloitte Consulting)")</f>
        <v>Kevin Nazemi (Fmr Co-CEO, Oscar Health), Bradley Fluegel (Fmr Chief Strategy Officer, Walgreens &amp; Anthem), Jim Moffatt (Fmr Vice Chairman/Global CEO, Deloitte Consulting)</v>
      </c>
      <c r="G229" s="60">
        <f>IFERROR(__xludf.DUMMYFUNCTION("""COMPUTED_VALUE"""),3.335E8)</f>
        <v>333500000</v>
      </c>
      <c r="H229" s="60" t="str">
        <f>IFERROR(__xludf.DUMMYFUNCTION("""COMPUTED_VALUE""")," ")</f>
        <v> </v>
      </c>
      <c r="I229" s="61" t="str">
        <f>IFERROR(__xludf.DUMMYFUNCTION("""COMPUTED_VALUE""")," ")</f>
        <v> </v>
      </c>
      <c r="J229" s="62" t="str">
        <f>IFERROR(__xludf.DUMMYFUNCTION("""COMPUTED_VALUE""")," ")</f>
        <v> </v>
      </c>
      <c r="K229" s="59">
        <f>IFERROR(__xludf.DUMMYFUNCTION("""COMPUTED_VALUE"""),9.91)</f>
        <v>9.91</v>
      </c>
      <c r="L229" s="63" t="str">
        <f>IFERROR(__xludf.DUMMYFUNCTION("""COMPUTED_VALUE""")," ")</f>
        <v> </v>
      </c>
      <c r="M229" s="64" t="str">
        <f>IFERROR(__xludf.DUMMYFUNCTION("""COMPUTED_VALUE"""),"U: [1/4 W]; W: [1:1, $11.5]")</f>
        <v>U: [1/4 W]; W: [1:1, $11.5]</v>
      </c>
      <c r="N229" s="65">
        <f>IFERROR(__xludf.DUMMYFUNCTION("""COMPUTED_VALUE"""),44316.0)</f>
        <v>44316</v>
      </c>
      <c r="O229" s="66" t="str">
        <f>IFERROR(__xludf.DUMMYFUNCTION("""COMPUTED_VALUE"""),"")</f>
        <v/>
      </c>
      <c r="P229" s="67">
        <f>IFERROR(__xludf.DUMMYFUNCTION("""COMPUTED_VALUE"""),44264.0)</f>
        <v>44264</v>
      </c>
      <c r="Q229" s="68">
        <f>IFERROR(__xludf.DUMMYFUNCTION("""COMPUTED_VALUE"""),333.5)</f>
        <v>333.5</v>
      </c>
      <c r="R229" s="85" t="str">
        <f>IFERROR(__xludf.DUMMYFUNCTION("""COMPUTED_VALUE"""),"Barclays")</f>
        <v>Barclays</v>
      </c>
      <c r="S229" s="64">
        <f>IFERROR(__xludf.DUMMYFUNCTION("""COMPUTED_VALUE"""),44994.0)</f>
        <v>44994</v>
      </c>
      <c r="T229" s="70">
        <f>IFERROR(__xludf.DUMMYFUNCTION("""COMPUTED_VALUE"""),0.043835616438356165)</f>
        <v>0.04383561644</v>
      </c>
      <c r="U229" s="71" t="str">
        <f>IFERROR(__xludf.DUMMYFUNCTION("""COMPUTED_VALUE"""),"https://www.sec.gov/cgi-bin/browse-edgar?CIK=1839998")</f>
        <v>https://www.sec.gov/cgi-bin/browse-edgar?CIK=1839998</v>
      </c>
      <c r="V229" s="72" t="str">
        <f>IFERROR(__xludf.DUMMYFUNCTION("""COMPUTED_VALUE"""),"            ")</f>
        <v>            </v>
      </c>
      <c r="W229" s="73"/>
      <c r="X229" s="74"/>
      <c r="Y229" s="75"/>
      <c r="Z229" s="60"/>
      <c r="AA229" s="60"/>
      <c r="AB229" s="60"/>
      <c r="AC229" s="60"/>
      <c r="AD229" s="73"/>
      <c r="AE229" s="73"/>
      <c r="AF229" s="76"/>
      <c r="AG229" s="60"/>
    </row>
    <row r="230">
      <c r="A230" s="54" t="str">
        <f>IFERROR(__xludf.DUMMYFUNCTION("""COMPUTED_VALUE"""),"DUNE")</f>
        <v>DUNE</v>
      </c>
      <c r="B230" s="55" t="str">
        <f>IFERROR(__xludf.DUMMYFUNCTION("""COMPUTED_VALUE"""),"Dune Acquisition Corp.")</f>
        <v>Dune Acquisition Corp.</v>
      </c>
      <c r="C230" s="56" t="str">
        <f>IFERROR(__xludf.DUMMYFUNCTION("""COMPUTED_VALUE"""),"Searching")</f>
        <v>Searching</v>
      </c>
      <c r="D230" s="57" t="str">
        <f>IFERROR(__xludf.DUMMYFUNCTION("""COMPUTED_VALUE"""),"SaaS, Tech")</f>
        <v>SaaS, Tech</v>
      </c>
      <c r="E230" s="58"/>
      <c r="F230" s="59" t="str">
        <f>IFERROR(__xludf.DUMMYFUNCTION("""COMPUTED_VALUE"""),"Carter Glatt (Former SVP, GTY Technology Holdings), Jeron Smith (Co-founder, Unanimous Media)")</f>
        <v>Carter Glatt (Former SVP, GTY Technology Holdings), Jeron Smith (Co-founder, Unanimous Media)</v>
      </c>
      <c r="G230" s="60">
        <f>IFERROR(__xludf.DUMMYFUNCTION("""COMPUTED_VALUE"""),1.725E8)</f>
        <v>172500000</v>
      </c>
      <c r="H230" s="60">
        <f>IFERROR(__xludf.DUMMYFUNCTION("""COMPUTED_VALUE"""),1.6905E8)</f>
        <v>169050000</v>
      </c>
      <c r="I230" s="61">
        <f>IFERROR(__xludf.DUMMYFUNCTION("""COMPUTED_VALUE"""),9.8)</f>
        <v>9.8</v>
      </c>
      <c r="J230" s="62">
        <f>IFERROR(__xludf.DUMMYFUNCTION("""COMPUTED_VALUE"""),-0.00102)</f>
        <v>-0.00102</v>
      </c>
      <c r="K230" s="59">
        <f>IFERROR(__xludf.DUMMYFUNCTION("""COMPUTED_VALUE"""),10.15)</f>
        <v>10.15</v>
      </c>
      <c r="L230" s="63">
        <f>IFERROR(__xludf.DUMMYFUNCTION("""COMPUTED_VALUE"""),0.75)</f>
        <v>0.75</v>
      </c>
      <c r="M230" s="64" t="str">
        <f>IFERROR(__xludf.DUMMYFUNCTION("""COMPUTED_VALUE"""),"U: [1/2 W]; W: [1:1, $11.5]")</f>
        <v>U: [1/2 W]; W: [1:1, $11.5]</v>
      </c>
      <c r="N230" s="65" t="str">
        <f>IFERROR(__xludf.DUMMYFUNCTION("""COMPUTED_VALUE"""),"")</f>
        <v/>
      </c>
      <c r="O230" s="66">
        <f>IFERROR(__xludf.DUMMYFUNCTION("""COMPUTED_VALUE"""),0.0)</f>
        <v>0</v>
      </c>
      <c r="P230" s="67">
        <f>IFERROR(__xludf.DUMMYFUNCTION("""COMPUTED_VALUE"""),44182.0)</f>
        <v>44182</v>
      </c>
      <c r="Q230" s="68">
        <f>IFERROR(__xludf.DUMMYFUNCTION("""COMPUTED_VALUE"""),172.5)</f>
        <v>172.5</v>
      </c>
      <c r="R230" s="69" t="str">
        <f>IFERROR(__xludf.DUMMYFUNCTION("""COMPUTED_VALUE"""),"Cantor")</f>
        <v>Cantor</v>
      </c>
      <c r="S230" s="64">
        <f>IFERROR(__xludf.DUMMYFUNCTION("""COMPUTED_VALUE"""),44912.0)</f>
        <v>44912</v>
      </c>
      <c r="T230" s="70">
        <f>IFERROR(__xludf.DUMMYFUNCTION("""COMPUTED_VALUE"""),0.15616438356164383)</f>
        <v>0.1561643836</v>
      </c>
      <c r="U230" s="71" t="str">
        <f>IFERROR(__xludf.DUMMYFUNCTION("""COMPUTED_VALUE"""),"https://www.sec.gov/cgi-bin/browse-edgar?CIK=1817232")</f>
        <v>https://www.sec.gov/cgi-bin/browse-edgar?CIK=1817232</v>
      </c>
      <c r="V230" s="72" t="str">
        <f>IFERROR(__xludf.DUMMYFUNCTION("""COMPUTED_VALUE""")," Trading Below $10 (Common)           ")</f>
        <v> Trading Below $10 (Common)           </v>
      </c>
      <c r="W230" s="73"/>
      <c r="X230" s="74"/>
      <c r="Y230" s="75"/>
      <c r="Z230" s="60"/>
      <c r="AA230" s="60"/>
      <c r="AB230" s="60"/>
      <c r="AC230" s="60"/>
      <c r="AD230" s="73"/>
      <c r="AE230" s="73"/>
      <c r="AF230" s="76"/>
      <c r="AG230" s="60" t="str">
        <f>IFERROR(__xludf.DUMMYFUNCTION("""COMPUTED_VALUE"""),"")</f>
        <v/>
      </c>
    </row>
    <row r="231">
      <c r="A231" s="54" t="str">
        <f>IFERROR(__xludf.DUMMYFUNCTION("""COMPUTED_VALUE"""),"DWIN")</f>
        <v>DWIN</v>
      </c>
      <c r="B231" s="55" t="str">
        <f>IFERROR(__xludf.DUMMYFUNCTION("""COMPUTED_VALUE"""),"Delwinds Insurance Acquisition Corp
")</f>
        <v>Delwinds Insurance Acquisition Corp
</v>
      </c>
      <c r="C231" s="56" t="str">
        <f>IFERROR(__xludf.DUMMYFUNCTION("""COMPUTED_VALUE"""),"Searching")</f>
        <v>Searching</v>
      </c>
      <c r="D231" s="77" t="str">
        <f>IFERROR(__xludf.DUMMYFUNCTION("""COMPUTED_VALUE"""),"InsureTech, Insurance")</f>
        <v>InsureTech, Insurance</v>
      </c>
      <c r="E231" s="58"/>
      <c r="F231" s="59" t="str">
        <f>IFERROR(__xludf.DUMMYFUNCTION("""COMPUTED_VALUE"""),"Senator E. Benjamin Nelson (Fmr CEO, NAIC; US Senator from Nebraska); Paul Britton Newhouse (Fmr Chairman, Guy Carpenter &amp; Co)")</f>
        <v>Senator E. Benjamin Nelson (Fmr CEO, NAIC; US Senator from Nebraska); Paul Britton Newhouse (Fmr Chairman, Guy Carpenter &amp; Co)</v>
      </c>
      <c r="G231" s="60">
        <f>IFERROR(__xludf.DUMMYFUNCTION("""COMPUTED_VALUE"""),2.0125E8)</f>
        <v>201250000</v>
      </c>
      <c r="H231" s="60">
        <f>IFERROR(__xludf.DUMMYFUNCTION("""COMPUTED_VALUE"""),2.042538E8)</f>
        <v>204253800</v>
      </c>
      <c r="I231" s="61">
        <f>IFERROR(__xludf.DUMMYFUNCTION("""COMPUTED_VALUE"""),9.84)</f>
        <v>9.84</v>
      </c>
      <c r="J231" s="62">
        <f>IFERROR(__xludf.DUMMYFUNCTION("""COMPUTED_VALUE"""),0.00511)</f>
        <v>0.00511</v>
      </c>
      <c r="K231" s="59">
        <f>IFERROR(__xludf.DUMMYFUNCTION("""COMPUTED_VALUE"""),10.08)</f>
        <v>10.08</v>
      </c>
      <c r="L231" s="63">
        <f>IFERROR(__xludf.DUMMYFUNCTION("""COMPUTED_VALUE"""),0.6)</f>
        <v>0.6</v>
      </c>
      <c r="M231" s="64" t="str">
        <f>IFERROR(__xludf.DUMMYFUNCTION("""COMPUTED_VALUE"""),"U: [1/2 W]; W: [1:1, $11.5]")</f>
        <v>U: [1/2 W]; W: [1:1, $11.5]</v>
      </c>
      <c r="N231" s="65" t="str">
        <f>IFERROR(__xludf.DUMMYFUNCTION("""COMPUTED_VALUE"""),"")</f>
        <v/>
      </c>
      <c r="O231" s="66">
        <f>IFERROR(__xludf.DUMMYFUNCTION("""COMPUTED_VALUE"""),0.0)</f>
        <v>0</v>
      </c>
      <c r="P231" s="67">
        <f>IFERROR(__xludf.DUMMYFUNCTION("""COMPUTED_VALUE"""),44175.0)</f>
        <v>44175</v>
      </c>
      <c r="Q231" s="68">
        <f>IFERROR(__xludf.DUMMYFUNCTION("""COMPUTED_VALUE"""),201.25)</f>
        <v>201.25</v>
      </c>
      <c r="R231" s="69" t="str">
        <f>IFERROR(__xludf.DUMMYFUNCTION("""COMPUTED_VALUE"""),"RBC Capital Markets, Cantor")</f>
        <v>RBC Capital Markets, Cantor</v>
      </c>
      <c r="S231" s="64">
        <f>IFERROR(__xludf.DUMMYFUNCTION("""COMPUTED_VALUE"""),44722.5)</f>
        <v>44722.5</v>
      </c>
      <c r="T231" s="70">
        <f>IFERROR(__xludf.DUMMYFUNCTION("""COMPUTED_VALUE"""),0.22100456621004566)</f>
        <v>0.2210045662</v>
      </c>
      <c r="U231" s="71" t="str">
        <f>IFERROR(__xludf.DUMMYFUNCTION("""COMPUTED_VALUE"""),"https://www.sec.gov/cgi-bin/browse-edgar?CIK=1812360")</f>
        <v>https://www.sec.gov/cgi-bin/browse-edgar?CIK=1812360</v>
      </c>
      <c r="V231" s="72" t="str">
        <f>IFERROR(__xludf.DUMMYFUNCTION("""COMPUTED_VALUE""")," Trading Below $10 (Common)           ")</f>
        <v> Trading Below $10 (Common)           </v>
      </c>
      <c r="W231" s="73"/>
      <c r="X231" s="74"/>
      <c r="Y231" s="75"/>
      <c r="Z231" s="60"/>
      <c r="AA231" s="60"/>
      <c r="AB231" s="60"/>
      <c r="AC231" s="60"/>
      <c r="AD231" s="73"/>
      <c r="AE231" s="73"/>
      <c r="AF231" s="76"/>
      <c r="AG231" s="60" t="str">
        <f>IFERROR(__xludf.DUMMYFUNCTION("""COMPUTED_VALUE"""),"")</f>
        <v/>
      </c>
    </row>
    <row r="232">
      <c r="A232" s="54" t="str">
        <f>IFERROR(__xludf.DUMMYFUNCTION("""COMPUTED_VALUE"""),"EAC")</f>
        <v>EAC</v>
      </c>
      <c r="B232" s="55" t="str">
        <f>IFERROR(__xludf.DUMMYFUNCTION("""COMPUTED_VALUE"""),"Edify Acquisition Corp.")</f>
        <v>Edify Acquisition Corp.</v>
      </c>
      <c r="C232" s="56" t="str">
        <f>IFERROR(__xludf.DUMMYFUNCTION("""COMPUTED_VALUE"""),"Searching")</f>
        <v>Searching</v>
      </c>
      <c r="D232" s="77" t="str">
        <f>IFERROR(__xludf.DUMMYFUNCTION("""COMPUTED_VALUE"""),"Education, EdTech, Workforce Development, Human Capital Management")</f>
        <v>Education, EdTech, Workforce Development, Human Capital Management</v>
      </c>
      <c r="E232" s="58"/>
      <c r="F232" s="59"/>
      <c r="G232" s="60">
        <f>IFERROR(__xludf.DUMMYFUNCTION("""COMPUTED_VALUE"""),2.76E8)</f>
        <v>276000000</v>
      </c>
      <c r="H232" s="60">
        <f>IFERROR(__xludf.DUMMYFUNCTION("""COMPUTED_VALUE"""),3.3603E8)</f>
        <v>336030000</v>
      </c>
      <c r="I232" s="61">
        <f>IFERROR(__xludf.DUMMYFUNCTION("""COMPUTED_VALUE"""),9.74)</f>
        <v>9.74</v>
      </c>
      <c r="J232" s="62">
        <f>IFERROR(__xludf.DUMMYFUNCTION("""COMPUTED_VALUE"""),-0.00103)</f>
        <v>-0.00103</v>
      </c>
      <c r="K232" s="59" t="str">
        <f>IFERROR(__xludf.DUMMYFUNCTION("""COMPUTED_VALUE""")," ")</f>
        <v> </v>
      </c>
      <c r="L232" s="63" t="str">
        <f>IFERROR(__xludf.DUMMYFUNCTION("""COMPUTED_VALUE""")," ")</f>
        <v> </v>
      </c>
      <c r="M232" s="64" t="str">
        <f>IFERROR(__xludf.DUMMYFUNCTION("""COMPUTED_VALUE"""),"U: [1/2 W]; W: [1:1, $11.5]")</f>
        <v>U: [1/2 W]; W: [1:1, $11.5]</v>
      </c>
      <c r="N232" s="65" t="str">
        <f>IFERROR(__xludf.DUMMYFUNCTION("""COMPUTED_VALUE"""),"")</f>
        <v/>
      </c>
      <c r="O232" s="66">
        <f>IFERROR(__xludf.DUMMYFUNCTION("""COMPUTED_VALUE"""),0.0)</f>
        <v>0</v>
      </c>
      <c r="P232" s="67">
        <f>IFERROR(__xludf.DUMMYFUNCTION("""COMPUTED_VALUE"""),44210.0)</f>
        <v>44210</v>
      </c>
      <c r="Q232" s="68">
        <f>IFERROR(__xludf.DUMMYFUNCTION("""COMPUTED_VALUE"""),276.0)</f>
        <v>276</v>
      </c>
      <c r="R232" s="85" t="str">
        <f>IFERROR(__xludf.DUMMYFUNCTION("""COMPUTED_VALUE"""),"BMO Capital Markets, B. Riley Securities")</f>
        <v>BMO Capital Markets, B. Riley Securities</v>
      </c>
      <c r="S232" s="64">
        <f>IFERROR(__xludf.DUMMYFUNCTION("""COMPUTED_VALUE"""),44940.0)</f>
        <v>44940</v>
      </c>
      <c r="T232" s="70">
        <f>IFERROR(__xludf.DUMMYFUNCTION("""COMPUTED_VALUE"""),0.1178082191780822)</f>
        <v>0.1178082192</v>
      </c>
      <c r="U232" s="71" t="str">
        <f>IFERROR(__xludf.DUMMYFUNCTION("""COMPUTED_VALUE"""),"https://www.sec.gov/cgi-bin/browse-edgar?CIK=1832765")</f>
        <v>https://www.sec.gov/cgi-bin/browse-edgar?CIK=1832765</v>
      </c>
      <c r="V232" s="72" t="str">
        <f>IFERROR(__xludf.DUMMYFUNCTION("""COMPUTED_VALUE""")," Trading Below $10 (Common)           ")</f>
        <v> Trading Below $10 (Common)           </v>
      </c>
      <c r="W232" s="73"/>
      <c r="X232" s="74"/>
      <c r="Y232" s="75"/>
      <c r="Z232" s="60"/>
      <c r="AA232" s="60"/>
      <c r="AB232" s="60"/>
      <c r="AC232" s="60"/>
      <c r="AD232" s="73"/>
      <c r="AE232" s="73"/>
      <c r="AF232" s="76"/>
      <c r="AG232" s="60" t="str">
        <f>IFERROR(__xludf.DUMMYFUNCTION("""COMPUTED_VALUE"""),"")</f>
        <v/>
      </c>
    </row>
    <row r="233">
      <c r="A233" s="54" t="str">
        <f>IFERROR(__xludf.DUMMYFUNCTION("""COMPUTED_VALUE"""),"EBAC")</f>
        <v>EBAC</v>
      </c>
      <c r="B233" s="55" t="str">
        <f>IFERROR(__xludf.DUMMYFUNCTION("""COMPUTED_VALUE"""),"European Biotech Acquisition Corp.")</f>
        <v>European Biotech Acquisition Corp.</v>
      </c>
      <c r="C233" s="56" t="str">
        <f>IFERROR(__xludf.DUMMYFUNCTION("""COMPUTED_VALUE"""),"Searching (Pre Unit Split)")</f>
        <v>Searching (Pre Unit Split)</v>
      </c>
      <c r="D233" s="77" t="str">
        <f>IFERROR(__xludf.DUMMYFUNCTION("""COMPUTED_VALUE"""),"Life Sciences, Healthcare (Europe)")</f>
        <v>Life Sciences, Healthcare (Europe)</v>
      </c>
      <c r="E233" s="58"/>
      <c r="F233" s="59"/>
      <c r="G233" s="60">
        <f>IFERROR(__xludf.DUMMYFUNCTION("""COMPUTED_VALUE"""),1.2E8)</f>
        <v>120000000</v>
      </c>
      <c r="H233" s="60" t="str">
        <f>IFERROR(__xludf.DUMMYFUNCTION("""COMPUTED_VALUE""")," ")</f>
        <v> </v>
      </c>
      <c r="I233" s="61" t="str">
        <f>IFERROR(__xludf.DUMMYFUNCTION("""COMPUTED_VALUE""")," ")</f>
        <v> </v>
      </c>
      <c r="J233" s="62" t="str">
        <f>IFERROR(__xludf.DUMMYFUNCTION("""COMPUTED_VALUE""")," ")</f>
        <v> </v>
      </c>
      <c r="K233" s="59">
        <f>IFERROR(__xludf.DUMMYFUNCTION("""COMPUTED_VALUE"""),10.15)</f>
        <v>10.15</v>
      </c>
      <c r="L233" s="63" t="str">
        <f>IFERROR(__xludf.DUMMYFUNCTION("""COMPUTED_VALUE""")," ")</f>
        <v> </v>
      </c>
      <c r="M233" s="64" t="str">
        <f>IFERROR(__xludf.DUMMYFUNCTION("""COMPUTED_VALUE"""),"U: [1/3 W]; W: [1:1, $11.5]")</f>
        <v>U: [1/3 W]; W: [1:1, $11.5]</v>
      </c>
      <c r="N233" s="65">
        <f>IFERROR(__xludf.DUMMYFUNCTION("""COMPUTED_VALUE"""),44322.0)</f>
        <v>44322</v>
      </c>
      <c r="O233" s="66" t="str">
        <f>IFERROR(__xludf.DUMMYFUNCTION("""COMPUTED_VALUE"""),"")</f>
        <v/>
      </c>
      <c r="P233" s="67">
        <f>IFERROR(__xludf.DUMMYFUNCTION("""COMPUTED_VALUE"""),44270.0)</f>
        <v>44270</v>
      </c>
      <c r="Q233" s="68">
        <f>IFERROR(__xludf.DUMMYFUNCTION("""COMPUTED_VALUE"""),120.0)</f>
        <v>120</v>
      </c>
      <c r="R233" s="85" t="str">
        <f>IFERROR(__xludf.DUMMYFUNCTION("""COMPUTED_VALUE"""),"Credit Suisse, Kempen &amp; Co")</f>
        <v>Credit Suisse, Kempen &amp; Co</v>
      </c>
      <c r="S233" s="64">
        <f>IFERROR(__xludf.DUMMYFUNCTION("""COMPUTED_VALUE"""),45000.0)</f>
        <v>45000</v>
      </c>
      <c r="T233" s="70">
        <f>IFERROR(__xludf.DUMMYFUNCTION("""COMPUTED_VALUE"""),0.03561643835616438)</f>
        <v>0.03561643836</v>
      </c>
      <c r="U233" s="71" t="str">
        <f>IFERROR(__xludf.DUMMYFUNCTION("""COMPUTED_VALUE"""),"https://www.sec.gov/cgi-bin/browse-edgar?CIK=1841258")</f>
        <v>https://www.sec.gov/cgi-bin/browse-edgar?CIK=1841258</v>
      </c>
      <c r="V233" s="72" t="str">
        <f>IFERROR(__xludf.DUMMYFUNCTION("""COMPUTED_VALUE"""),"            ")</f>
        <v>            </v>
      </c>
      <c r="W233" s="73"/>
      <c r="X233" s="74"/>
      <c r="Y233" s="75"/>
      <c r="Z233" s="60"/>
      <c r="AA233" s="60"/>
      <c r="AB233" s="60"/>
      <c r="AC233" s="60"/>
      <c r="AD233" s="73"/>
      <c r="AE233" s="73"/>
      <c r="AF233" s="76"/>
      <c r="AG233" s="60"/>
    </row>
    <row r="234">
      <c r="A234" s="54" t="str">
        <f>IFERROR(__xludf.DUMMYFUNCTION("""COMPUTED_VALUE"""),"EDTX")</f>
        <v>EDTX</v>
      </c>
      <c r="B234" s="55" t="str">
        <f>IFERROR(__xludf.DUMMYFUNCTION("""COMPUTED_VALUE"""),"EdtechX Holdings Acquisition Corp. II")</f>
        <v>EdtechX Holdings Acquisition Corp. II</v>
      </c>
      <c r="C234" s="56" t="str">
        <f>IFERROR(__xludf.DUMMYFUNCTION("""COMPUTED_VALUE"""),"Searching")</f>
        <v>Searching</v>
      </c>
      <c r="D234" s="77" t="str">
        <f>IFERROR(__xludf.DUMMYFUNCTION("""COMPUTED_VALUE"""),"Education, EdTech")</f>
        <v>Education, EdTech</v>
      </c>
      <c r="E234" s="58"/>
      <c r="F234" s="59" t="str">
        <f>IFERROR(__xludf.DUMMYFUNCTION("""COMPUTED_VALUE"""),"Charles McIntyre (EdTechX I)")</f>
        <v>Charles McIntyre (EdTechX I)</v>
      </c>
      <c r="G234" s="60">
        <f>IFERROR(__xludf.DUMMYFUNCTION("""COMPUTED_VALUE"""),1.16728736E8)</f>
        <v>116728736</v>
      </c>
      <c r="H234" s="60">
        <f>IFERROR(__xludf.DUMMYFUNCTION("""COMPUTED_VALUE"""),1.14425E8)</f>
        <v>114425000</v>
      </c>
      <c r="I234" s="61">
        <f>IFERROR(__xludf.DUMMYFUNCTION("""COMPUTED_VALUE"""),9.95)</f>
        <v>9.95</v>
      </c>
      <c r="J234" s="62">
        <f>IFERROR(__xludf.DUMMYFUNCTION("""COMPUTED_VALUE"""),0.00101)</f>
        <v>0.00101</v>
      </c>
      <c r="K234" s="59">
        <f>IFERROR(__xludf.DUMMYFUNCTION("""COMPUTED_VALUE"""),10.21)</f>
        <v>10.21</v>
      </c>
      <c r="L234" s="63">
        <f>IFERROR(__xludf.DUMMYFUNCTION("""COMPUTED_VALUE"""),0.56)</f>
        <v>0.56</v>
      </c>
      <c r="M234" s="64" t="str">
        <f>IFERROR(__xludf.DUMMYFUNCTION("""COMPUTED_VALUE"""),"U: [1/2 W]; W: [1:1, $11.5]")</f>
        <v>U: [1/2 W]; W: [1:1, $11.5]</v>
      </c>
      <c r="N234" s="65" t="str">
        <f>IFERROR(__xludf.DUMMYFUNCTION("""COMPUTED_VALUE"""),"")</f>
        <v/>
      </c>
      <c r="O234" s="66">
        <f>IFERROR(__xludf.DUMMYFUNCTION("""COMPUTED_VALUE"""),0.0)</f>
        <v>0</v>
      </c>
      <c r="P234" s="67">
        <f>IFERROR(__xludf.DUMMYFUNCTION("""COMPUTED_VALUE"""),44175.0)</f>
        <v>44175</v>
      </c>
      <c r="Q234" s="68">
        <f>IFERROR(__xludf.DUMMYFUNCTION("""COMPUTED_VALUE"""),116.7)</f>
        <v>116.7</v>
      </c>
      <c r="R234" s="85" t="str">
        <f>IFERROR(__xludf.DUMMYFUNCTION("""COMPUTED_VALUE"""),"Jefferies")</f>
        <v>Jefferies</v>
      </c>
      <c r="S234" s="64">
        <f>IFERROR(__xludf.DUMMYFUNCTION("""COMPUTED_VALUE"""),44905.0)</f>
        <v>44905</v>
      </c>
      <c r="T234" s="70">
        <f>IFERROR(__xludf.DUMMYFUNCTION("""COMPUTED_VALUE"""),0.16575342465753426)</f>
        <v>0.1657534247</v>
      </c>
      <c r="U234" s="71" t="str">
        <f>IFERROR(__xludf.DUMMYFUNCTION("""COMPUTED_VALUE"""),"https://www.sec.gov/cgi-bin/browse-edgar?CIK=1817153")</f>
        <v>https://www.sec.gov/cgi-bin/browse-edgar?CIK=1817153</v>
      </c>
      <c r="V234" s="72" t="str">
        <f>IFERROR(__xludf.DUMMYFUNCTION("""COMPUTED_VALUE""")," Trading Below $10 (Common)           ")</f>
        <v> Trading Below $10 (Common)           </v>
      </c>
      <c r="W234" s="73"/>
      <c r="X234" s="74"/>
      <c r="Y234" s="75"/>
      <c r="Z234" s="60"/>
      <c r="AA234" s="60"/>
      <c r="AB234" s="60"/>
      <c r="AC234" s="60"/>
      <c r="AD234" s="73"/>
      <c r="AE234" s="73"/>
      <c r="AF234" s="76"/>
      <c r="AG234" s="60" t="str">
        <f>IFERROR(__xludf.DUMMYFUNCTION("""COMPUTED_VALUE"""),"")</f>
        <v/>
      </c>
    </row>
    <row r="235">
      <c r="A235" s="54" t="str">
        <f>IFERROR(__xludf.DUMMYFUNCTION("""COMPUTED_VALUE"""),"EGGF")</f>
        <v>EGGF</v>
      </c>
      <c r="B235" s="55" t="str">
        <f>IFERROR(__xludf.DUMMYFUNCTION("""COMPUTED_VALUE"""),"EG Acquisition Corp.")</f>
        <v>EG Acquisition Corp.</v>
      </c>
      <c r="C235" s="56" t="str">
        <f>IFERROR(__xludf.DUMMYFUNCTION("""COMPUTED_VALUE"""),"Pre IPO")</f>
        <v>Pre IPO</v>
      </c>
      <c r="D235" s="77" t="str">
        <f>IFERROR(__xludf.DUMMYFUNCTION("""COMPUTED_VALUE"""),"Transportation and real assets, financial services, fintech, healthcare, real estate, and sustainability-focused businesses.")</f>
        <v>Transportation and real assets, financial services, fintech, healthcare, real estate, and sustainability-focused businesses.</v>
      </c>
      <c r="E235" s="58"/>
      <c r="F235" s="59" t="str">
        <f>IFERROR(__xludf.DUMMYFUNCTION("""COMPUTED_VALUE"""),"Gregg Hymowitz (Chairman &amp; CEO of EnTrust Global), Linda Hall Daschle (Former FAA Deputy Administrator), Jonathan Silver (Director of National Grid and Plug Power)")</f>
        <v>Gregg Hymowitz (Chairman &amp; CEO of EnTrust Global), Linda Hall Daschle (Former FAA Deputy Administrator), Jonathan Silver (Director of National Grid and Plug Power)</v>
      </c>
      <c r="G235" s="60">
        <f>IFERROR(__xludf.DUMMYFUNCTION("""COMPUTED_VALUE"""),2.5E8)</f>
        <v>250000000</v>
      </c>
      <c r="H235" s="60" t="str">
        <f>IFERROR(__xludf.DUMMYFUNCTION("""COMPUTED_VALUE""")," ")</f>
        <v> </v>
      </c>
      <c r="I235" s="61" t="str">
        <f>IFERROR(__xludf.DUMMYFUNCTION("""COMPUTED_VALUE""")," ")</f>
        <v> </v>
      </c>
      <c r="J235" s="62" t="str">
        <f>IFERROR(__xludf.DUMMYFUNCTION("""COMPUTED_VALUE""")," ")</f>
        <v> </v>
      </c>
      <c r="K235" s="59" t="str">
        <f>IFERROR(__xludf.DUMMYFUNCTION("""COMPUTED_VALUE""")," ")</f>
        <v> </v>
      </c>
      <c r="L235" s="63" t="str">
        <f>IFERROR(__xludf.DUMMYFUNCTION("""COMPUTED_VALUE""")," ")</f>
        <v> </v>
      </c>
      <c r="M235" s="64" t="str">
        <f>IFERROR(__xludf.DUMMYFUNCTION("""COMPUTED_VALUE"""),"U: [1/3 W]; W: [1:1, $11.5]")</f>
        <v>U: [1/3 W]; W: [1:1, $11.5]</v>
      </c>
      <c r="N235" s="65" t="str">
        <f>IFERROR(__xludf.DUMMYFUNCTION("""COMPUTED_VALUE"""),"")</f>
        <v/>
      </c>
      <c r="O235" s="66">
        <f>IFERROR(__xludf.DUMMYFUNCTION("""COMPUTED_VALUE"""),0.0)</f>
        <v>0</v>
      </c>
      <c r="P235" s="67"/>
      <c r="Q235" s="68">
        <f>IFERROR(__xludf.DUMMYFUNCTION("""COMPUTED_VALUE"""),250.0)</f>
        <v>250</v>
      </c>
      <c r="R235" s="69" t="str">
        <f>IFERROR(__xludf.DUMMYFUNCTION("""COMPUTED_VALUE"""),"BTIG")</f>
        <v>BTIG</v>
      </c>
      <c r="S235" s="64">
        <f>IFERROR(__xludf.DUMMYFUNCTION("""COMPUTED_VALUE"""),45086.0)</f>
        <v>45086</v>
      </c>
      <c r="T235" s="70" t="str">
        <f>IFERROR(__xludf.DUMMYFUNCTION("""COMPUTED_VALUE"""),"")</f>
        <v/>
      </c>
      <c r="U235" s="71" t="str">
        <f>IFERROR(__xludf.DUMMYFUNCTION("""COMPUTED_VALUE"""),"https://www.sec.gov/cgi-bin/browse-edgar?CIK=1843973")</f>
        <v>https://www.sec.gov/cgi-bin/browse-edgar?CIK=1843973</v>
      </c>
      <c r="V235" s="72" t="str">
        <f>IFERROR(__xludf.DUMMYFUNCTION("""COMPUTED_VALUE"""),"        New Registration    ")</f>
        <v>        New Registration    </v>
      </c>
      <c r="W235" s="73"/>
      <c r="X235" s="74"/>
      <c r="Y235" s="75"/>
      <c r="Z235" s="60"/>
      <c r="AA235" s="60"/>
      <c r="AB235" s="60"/>
      <c r="AC235" s="60"/>
      <c r="AD235" s="73"/>
      <c r="AE235" s="73"/>
      <c r="AF235" s="76"/>
      <c r="AG235" s="60"/>
    </row>
    <row r="236">
      <c r="A236" s="54" t="str">
        <f>IFERROR(__xludf.DUMMYFUNCTION("""COMPUTED_VALUE"""),"EIPA")</f>
        <v>EIPA</v>
      </c>
      <c r="B236" s="55" t="str">
        <f>IFERROR(__xludf.DUMMYFUNCTION("""COMPUTED_VALUE"""),"EIP Acquisition Corp I")</f>
        <v>EIP Acquisition Corp I</v>
      </c>
      <c r="C236" s="56" t="str">
        <f>IFERROR(__xludf.DUMMYFUNCTION("""COMPUTED_VALUE"""),"Pre IPO")</f>
        <v>Pre IPO</v>
      </c>
      <c r="D236" s="77" t="str">
        <f>IFERROR(__xludf.DUMMYFUNCTION("""COMPUTED_VALUE"""),"Decarbonization, Energy Transition")</f>
        <v>Decarbonization, Energy Transition</v>
      </c>
      <c r="E236" s="58"/>
      <c r="F236" s="59"/>
      <c r="G236" s="60">
        <f>IFERROR(__xludf.DUMMYFUNCTION("""COMPUTED_VALUE"""),3.0E8)</f>
        <v>300000000</v>
      </c>
      <c r="H236" s="60" t="str">
        <f>IFERROR(__xludf.DUMMYFUNCTION("""COMPUTED_VALUE""")," ")</f>
        <v> </v>
      </c>
      <c r="I236" s="61" t="str">
        <f>IFERROR(__xludf.DUMMYFUNCTION("""COMPUTED_VALUE""")," ")</f>
        <v> </v>
      </c>
      <c r="J236" s="62" t="str">
        <f>IFERROR(__xludf.DUMMYFUNCTION("""COMPUTED_VALUE""")," ")</f>
        <v> </v>
      </c>
      <c r="K236" s="59" t="str">
        <f>IFERROR(__xludf.DUMMYFUNCTION("""COMPUTED_VALUE""")," ")</f>
        <v> </v>
      </c>
      <c r="L236" s="63" t="str">
        <f>IFERROR(__xludf.DUMMYFUNCTION("""COMPUTED_VALUE""")," ")</f>
        <v> </v>
      </c>
      <c r="M236" s="64" t="str">
        <f>IFERROR(__xludf.DUMMYFUNCTION("""COMPUTED_VALUE"""),"U: [1/3 W]; W: [1:1, $11.5]")</f>
        <v>U: [1/3 W]; W: [1:1, $11.5]</v>
      </c>
      <c r="N236" s="65" t="str">
        <f>IFERROR(__xludf.DUMMYFUNCTION("""COMPUTED_VALUE"""),"")</f>
        <v/>
      </c>
      <c r="O236" s="66">
        <f>IFERROR(__xludf.DUMMYFUNCTION("""COMPUTED_VALUE"""),0.0)</f>
        <v>0</v>
      </c>
      <c r="P236" s="67"/>
      <c r="Q236" s="68">
        <f>IFERROR(__xludf.DUMMYFUNCTION("""COMPUTED_VALUE"""),300.0)</f>
        <v>300</v>
      </c>
      <c r="R236" s="85" t="str">
        <f>IFERROR(__xludf.DUMMYFUNCTION("""COMPUTED_VALUE"""),"J.P. Morgan, Morgan Stanley")</f>
        <v>J.P. Morgan, Morgan Stanley</v>
      </c>
      <c r="S236" s="64">
        <f>IFERROR(__xludf.DUMMYFUNCTION("""COMPUTED_VALUE"""),45086.0)</f>
        <v>45086</v>
      </c>
      <c r="T236" s="70" t="str">
        <f>IFERROR(__xludf.DUMMYFUNCTION("""COMPUTED_VALUE"""),"")</f>
        <v/>
      </c>
      <c r="U236" s="71" t="str">
        <f>IFERROR(__xludf.DUMMYFUNCTION("""COMPUTED_VALUE"""),"https://www.sec.gov/cgi-bin/browse-edgar?CIK=1849687")</f>
        <v>https://www.sec.gov/cgi-bin/browse-edgar?CIK=1849687</v>
      </c>
      <c r="V236" s="72" t="str">
        <f>IFERROR(__xludf.DUMMYFUNCTION("""COMPUTED_VALUE"""),"Sustainability           Top Tier UW ")</f>
        <v>Sustainability           Top Tier UW </v>
      </c>
      <c r="W236" s="73"/>
      <c r="X236" s="74"/>
      <c r="Y236" s="75"/>
      <c r="Z236" s="60"/>
      <c r="AA236" s="60"/>
      <c r="AB236" s="60"/>
      <c r="AC236" s="60"/>
      <c r="AD236" s="73"/>
      <c r="AE236" s="73"/>
      <c r="AF236" s="76"/>
      <c r="AG236" s="60"/>
    </row>
    <row r="237">
      <c r="A237" s="54" t="str">
        <f>IFERROR(__xludf.DUMMYFUNCTION("""COMPUTED_VALUE"""),"EJFA")</f>
        <v>EJFA</v>
      </c>
      <c r="B237" s="55" t="str">
        <f>IFERROR(__xludf.DUMMYFUNCTION("""COMPUTED_VALUE"""),"EJF Acquisition Corp.")</f>
        <v>EJF Acquisition Corp.</v>
      </c>
      <c r="C237" s="56" t="str">
        <f>IFERROR(__xludf.DUMMYFUNCTION("""COMPUTED_VALUE"""),"Searching (Pre Unit Split)")</f>
        <v>Searching (Pre Unit Split)</v>
      </c>
      <c r="D237" s="77" t="str">
        <f>IFERROR(__xludf.DUMMYFUNCTION("""COMPUTED_VALUE"""),"Financial Services")</f>
        <v>Financial Services</v>
      </c>
      <c r="E237" s="58"/>
      <c r="F237" s="59" t="str">
        <f>IFERROR(__xludf.DUMMYFUNCTION("""COMPUTED_VALUE"""),"Robert Wolf (Fmr COO, UBS)")</f>
        <v>Robert Wolf (Fmr COO, UBS)</v>
      </c>
      <c r="G237" s="60">
        <f>IFERROR(__xludf.DUMMYFUNCTION("""COMPUTED_VALUE"""),2.875E8)</f>
        <v>287500000</v>
      </c>
      <c r="H237" s="60" t="str">
        <f>IFERROR(__xludf.DUMMYFUNCTION("""COMPUTED_VALUE""")," ")</f>
        <v> </v>
      </c>
      <c r="I237" s="61" t="str">
        <f>IFERROR(__xludf.DUMMYFUNCTION("""COMPUTED_VALUE""")," ")</f>
        <v> </v>
      </c>
      <c r="J237" s="62" t="str">
        <f>IFERROR(__xludf.DUMMYFUNCTION("""COMPUTED_VALUE""")," ")</f>
        <v> </v>
      </c>
      <c r="K237" s="59">
        <f>IFERROR(__xludf.DUMMYFUNCTION("""COMPUTED_VALUE"""),9.95)</f>
        <v>9.95</v>
      </c>
      <c r="L237" s="63" t="str">
        <f>IFERROR(__xludf.DUMMYFUNCTION("""COMPUTED_VALUE""")," ")</f>
        <v> </v>
      </c>
      <c r="M237" s="64" t="str">
        <f>IFERROR(__xludf.DUMMYFUNCTION("""COMPUTED_VALUE"""),"U: [1/3 W]; W: [1:1, $11.5]")</f>
        <v>U: [1/3 W]; W: [1:1, $11.5]</v>
      </c>
      <c r="N237" s="65">
        <f>IFERROR(__xludf.DUMMYFUNCTION("""COMPUTED_VALUE"""),44303.0)</f>
        <v>44303</v>
      </c>
      <c r="O237" s="66" t="str">
        <f>IFERROR(__xludf.DUMMYFUNCTION("""COMPUTED_VALUE"""),"")</f>
        <v/>
      </c>
      <c r="P237" s="67">
        <f>IFERROR(__xludf.DUMMYFUNCTION("""COMPUTED_VALUE"""),44251.0)</f>
        <v>44251</v>
      </c>
      <c r="Q237" s="68">
        <f>IFERROR(__xludf.DUMMYFUNCTION("""COMPUTED_VALUE"""),287.5)</f>
        <v>287.5</v>
      </c>
      <c r="R237" s="69" t="str">
        <f>IFERROR(__xludf.DUMMYFUNCTION("""COMPUTED_VALUE"""),"UBS Investment Bank, Barclays")</f>
        <v>UBS Investment Bank, Barclays</v>
      </c>
      <c r="S237" s="64">
        <f>IFERROR(__xludf.DUMMYFUNCTION("""COMPUTED_VALUE"""),44981.0)</f>
        <v>44981</v>
      </c>
      <c r="T237" s="70">
        <f>IFERROR(__xludf.DUMMYFUNCTION("""COMPUTED_VALUE"""),0.06164383561643835)</f>
        <v>0.06164383562</v>
      </c>
      <c r="U237" s="71" t="str">
        <f>IFERROR(__xludf.DUMMYFUNCTION("""COMPUTED_VALUE"""),"https://www.sec.gov/cgi-bin/browse-edgar?CIK=1839434")</f>
        <v>https://www.sec.gov/cgi-bin/browse-edgar?CIK=1839434</v>
      </c>
      <c r="V237" s="72" t="str">
        <f>IFERROR(__xludf.DUMMYFUNCTION("""COMPUTED_VALUE"""),"            ")</f>
        <v>            </v>
      </c>
      <c r="W237" s="73"/>
      <c r="X237" s="74"/>
      <c r="Y237" s="75"/>
      <c r="Z237" s="60"/>
      <c r="AA237" s="60"/>
      <c r="AB237" s="60"/>
      <c r="AC237" s="60"/>
      <c r="AD237" s="73"/>
      <c r="AE237" s="73"/>
      <c r="AF237" s="76"/>
      <c r="AG237" s="60"/>
    </row>
    <row r="238">
      <c r="A238" s="54" t="str">
        <f>IFERROR(__xludf.DUMMYFUNCTION("""COMPUTED_VALUE"""),"EMPW")</f>
        <v>EMPW</v>
      </c>
      <c r="B238" s="55" t="str">
        <f>IFERROR(__xludf.DUMMYFUNCTION("""COMPUTED_VALUE"""),"Empower Ltd.")</f>
        <v>Empower Ltd.</v>
      </c>
      <c r="C238" s="56" t="str">
        <f>IFERROR(__xludf.DUMMYFUNCTION("""COMPUTED_VALUE"""),"Definitive Agreement")</f>
        <v>Definitive Agreement</v>
      </c>
      <c r="D238" s="57" t="str">
        <f>IFERROR(__xludf.DUMMYFUNCTION("""COMPUTED_VALUE"""),"Consumer products, Retail, Services, Experiences")</f>
        <v>Consumer products, Retail, Services, Experiences</v>
      </c>
      <c r="E238" s="58" t="str">
        <f>IFERROR(__xludf.DUMMYFUNCTION("""COMPUTED_VALUE"""),"Holley [DA: 03/12/21]")</f>
        <v>Holley [DA: 03/12/21]</v>
      </c>
      <c r="F238" s="59" t="str">
        <f>IFERROR(__xludf.DUMMYFUNCTION("""COMPUTED_VALUE"""),"Matthew Rubel (Fmr CEO, Varsity Brands, Collective Brands, Cole Haan); Beth Kaplan (Fmr COO, 
Rent the Runway)")</f>
        <v>Matthew Rubel (Fmr CEO, Varsity Brands, Collective Brands, Cole Haan); Beth Kaplan (Fmr COO, 
Rent the Runway)</v>
      </c>
      <c r="G238" s="60">
        <f>IFERROR(__xludf.DUMMYFUNCTION("""COMPUTED_VALUE"""),2.5E8)</f>
        <v>250000000</v>
      </c>
      <c r="H238" s="60">
        <f>IFERROR(__xludf.DUMMYFUNCTION("""COMPUTED_VALUE"""),2.49E8)</f>
        <v>249000000</v>
      </c>
      <c r="I238" s="61">
        <f>IFERROR(__xludf.DUMMYFUNCTION("""COMPUTED_VALUE"""),9.96)</f>
        <v>9.96</v>
      </c>
      <c r="J238" s="62"/>
      <c r="K238" s="59">
        <f>IFERROR(__xludf.DUMMYFUNCTION("""COMPUTED_VALUE"""),10.35)</f>
        <v>10.35</v>
      </c>
      <c r="L238" s="63">
        <f>IFERROR(__xludf.DUMMYFUNCTION("""COMPUTED_VALUE"""),1.23)</f>
        <v>1.23</v>
      </c>
      <c r="M238" s="64" t="str">
        <f>IFERROR(__xludf.DUMMYFUNCTION("""COMPUTED_VALUE"""),"U: [1/3 W]; W: [1:1, $11.5]")</f>
        <v>U: [1/3 W]; W: [1:1, $11.5]</v>
      </c>
      <c r="N238" s="65" t="str">
        <f>IFERROR(__xludf.DUMMYFUNCTION("""COMPUTED_VALUE"""),"")</f>
        <v/>
      </c>
      <c r="O238" s="66">
        <f>IFERROR(__xludf.DUMMYFUNCTION("""COMPUTED_VALUE"""),0.0)</f>
        <v>0</v>
      </c>
      <c r="P238" s="67">
        <f>IFERROR(__xludf.DUMMYFUNCTION("""COMPUTED_VALUE"""),44111.0)</f>
        <v>44111</v>
      </c>
      <c r="Q238" s="68">
        <f>IFERROR(__xludf.DUMMYFUNCTION("""COMPUTED_VALUE"""),250.0)</f>
        <v>250</v>
      </c>
      <c r="R238" s="85" t="str">
        <f>IFERROR(__xludf.DUMMYFUNCTION("""COMPUTED_VALUE"""),"JP Morgan, Jefferies")</f>
        <v>JP Morgan, Jefferies</v>
      </c>
      <c r="S238" s="64">
        <f>IFERROR(__xludf.DUMMYFUNCTION("""COMPUTED_VALUE"""),44841.0)</f>
        <v>44841</v>
      </c>
      <c r="T238" s="70">
        <f>IFERROR(__xludf.DUMMYFUNCTION("""COMPUTED_VALUE"""),0.2534246575342466)</f>
        <v>0.2534246575</v>
      </c>
      <c r="U238" s="71" t="str">
        <f>IFERROR(__xludf.DUMMYFUNCTION("""COMPUTED_VALUE"""),"https://www.sec.gov/cgi-bin/browse-edgar?CIK=1822928")</f>
        <v>https://www.sec.gov/cgi-bin/browse-edgar?CIK=1822928</v>
      </c>
      <c r="V238" s="72" t="str">
        <f>IFERROR(__xludf.DUMMYFUNCTION("""COMPUTED_VALUE""")," Trading Below $10 (Common)        Well-known Sponsor  Top Tier UW ")</f>
        <v> Trading Below $10 (Common)        Well-known Sponsor  Top Tier UW </v>
      </c>
      <c r="W238" s="73">
        <f>IFERROR(__xludf.DUMMYFUNCTION("""COMPUTED_VALUE"""),44267.0)</f>
        <v>44267</v>
      </c>
      <c r="X238" s="79">
        <f>IFERROR(__xludf.DUMMYFUNCTION("""COMPUTED_VALUE"""),5.2)</f>
        <v>5.2</v>
      </c>
      <c r="Y238" s="80" t="str">
        <f>IFERROR(__xludf.DUMMYFUNCTION("""COMPUTED_VALUE"""),"https://www.businesswire.com/news/home/20210312005202/en/Holley-the-Largest-Performance-Automotive-Aftermarket-Platform-to-Become-Public-Company")</f>
        <v>https://www.businesswire.com/news/home/20210312005202/en/Holley-the-Largest-Performance-Automotive-Aftermarket-Platform-to-Become-Public-Company</v>
      </c>
      <c r="Z238" s="81" t="str">
        <f>IFERROR(__xludf.DUMMYFUNCTION("""COMPUTED_VALUE"""),"https://www.sec.gov/Archives/edgar/data/0001822928/000121390021015000/ea137482ex99-2_empower.htm")</f>
        <v>https://www.sec.gov/Archives/edgar/data/0001822928/000121390021015000/ea137482ex99-2_empower.htm</v>
      </c>
      <c r="AA238" s="60">
        <f>IFERROR(__xludf.DUMMYFUNCTION("""COMPUTED_VALUE"""),2.4E8)</f>
        <v>240000000</v>
      </c>
      <c r="AB238" s="60">
        <f>IFERROR(__xludf.DUMMYFUNCTION("""COMPUTED_VALUE"""),1.1581E9)</f>
        <v>1158100000</v>
      </c>
      <c r="AC238" s="60">
        <f>IFERROR(__xludf.DUMMYFUNCTION("""COMPUTED_VALUE"""),1.6431E9)</f>
        <v>1643100000</v>
      </c>
      <c r="AD238" s="73"/>
      <c r="AE238" s="73"/>
      <c r="AF238" s="76">
        <f>IFERROR(__xludf.DUMMYFUNCTION("""COMPUTED_VALUE"""),1.1581E8)</f>
        <v>115810000</v>
      </c>
      <c r="AG238" s="60">
        <f>IFERROR(__xludf.DUMMYFUNCTION("""COMPUTED_VALUE"""),1.1534676E9)</f>
        <v>1153467600</v>
      </c>
    </row>
    <row r="239">
      <c r="A239" s="54" t="str">
        <f>IFERROR(__xludf.DUMMYFUNCTION("""COMPUTED_VALUE"""),"ENFA")</f>
        <v>ENFA</v>
      </c>
      <c r="B239" s="55" t="str">
        <f>IFERROR(__xludf.DUMMYFUNCTION("""COMPUTED_VALUE"""),"890 5th Avenue Partners, Inc.")</f>
        <v>890 5th Avenue Partners, Inc.</v>
      </c>
      <c r="C239" s="56" t="str">
        <f>IFERROR(__xludf.DUMMYFUNCTION("""COMPUTED_VALUE"""),"Searching")</f>
        <v>Searching</v>
      </c>
      <c r="D239" s="77" t="str">
        <f>IFERROR(__xludf.DUMMYFUNCTION("""COMPUTED_VALUE"""),"Tech, Media, Telecom (TMT)")</f>
        <v>Tech, Media, Telecom (TMT)</v>
      </c>
      <c r="E239" s="58" t="str">
        <f>IFERROR(__xludf.DUMMYFUNCTION("""COMPUTED_VALUE"""),"[In talks (unconfirmed) with Buzzfeed: Per Bloomberg 3/10/21]")</f>
        <v>[In talks (unconfirmed) with Buzzfeed: Per Bloomberg 3/10/21]</v>
      </c>
      <c r="F239" s="59" t="str">
        <f>IFERROR(__xludf.DUMMYFUNCTION("""COMPUTED_VALUE"""),"Adam Rothstein (GP, Distruptive Technology Partners), Emiliano Calemzuk (Director, MercadoLibre; Fmr Pres, Fox Television Studios), Scott Flanders (CEO, eHealth; Fmr CEO, Playboy Enterprises)")</f>
        <v>Adam Rothstein (GP, Distruptive Technology Partners), Emiliano Calemzuk (Director, MercadoLibre; Fmr Pres, Fox Television Studios), Scott Flanders (CEO, eHealth; Fmr CEO, Playboy Enterprises)</v>
      </c>
      <c r="G239" s="60">
        <f>IFERROR(__xludf.DUMMYFUNCTION("""COMPUTED_VALUE"""),2.875E8)</f>
        <v>287500000</v>
      </c>
      <c r="H239" s="60">
        <f>IFERROR(__xludf.DUMMYFUNCTION("""COMPUTED_VALUE"""),2.93358665E8)</f>
        <v>293358665</v>
      </c>
      <c r="I239" s="61">
        <f>IFERROR(__xludf.DUMMYFUNCTION("""COMPUTED_VALUE"""),9.9351)</f>
        <v>9.9351</v>
      </c>
      <c r="J239" s="62">
        <f>IFERROR(__xludf.DUMMYFUNCTION("""COMPUTED_VALUE"""),0.00355)</f>
        <v>0.00355</v>
      </c>
      <c r="K239" s="59">
        <f>IFERROR(__xludf.DUMMYFUNCTION("""COMPUTED_VALUE"""),10.2)</f>
        <v>10.2</v>
      </c>
      <c r="L239" s="63">
        <f>IFERROR(__xludf.DUMMYFUNCTION("""COMPUTED_VALUE"""),0.91)</f>
        <v>0.91</v>
      </c>
      <c r="M239" s="64" t="str">
        <f>IFERROR(__xludf.DUMMYFUNCTION("""COMPUTED_VALUE"""),"U: [1/3 W]; W: [1:1, $11.5]")</f>
        <v>U: [1/3 W]; W: [1:1, $11.5]</v>
      </c>
      <c r="N239" s="65">
        <f>IFERROR(__xludf.DUMMYFUNCTION("""COMPUTED_VALUE"""),44260.0)</f>
        <v>44260</v>
      </c>
      <c r="O239" s="66">
        <f>IFERROR(__xludf.DUMMYFUNCTION("""COMPUTED_VALUE"""),0.0)</f>
        <v>0</v>
      </c>
      <c r="P239" s="67">
        <f>IFERROR(__xludf.DUMMYFUNCTION("""COMPUTED_VALUE"""),44207.0)</f>
        <v>44207</v>
      </c>
      <c r="Q239" s="68">
        <f>IFERROR(__xludf.DUMMYFUNCTION("""COMPUTED_VALUE"""),287.5)</f>
        <v>287.5</v>
      </c>
      <c r="R239" s="85" t="str">
        <f>IFERROR(__xludf.DUMMYFUNCTION("""COMPUTED_VALUE"""),"Cowen, Craig-Hallum Capital")</f>
        <v>Cowen, Craig-Hallum Capital</v>
      </c>
      <c r="S239" s="64">
        <f>IFERROR(__xludf.DUMMYFUNCTION("""COMPUTED_VALUE"""),44937.0)</f>
        <v>44937</v>
      </c>
      <c r="T239" s="70">
        <f>IFERROR(__xludf.DUMMYFUNCTION("""COMPUTED_VALUE"""),0.12191780821917808)</f>
        <v>0.1219178082</v>
      </c>
      <c r="U239" s="71" t="str">
        <f>IFERROR(__xludf.DUMMYFUNCTION("""COMPUTED_VALUE"""),"https://www.sec.gov/cgi-bin/browse-edgar?CIK=1828972")</f>
        <v>https://www.sec.gov/cgi-bin/browse-edgar?CIK=1828972</v>
      </c>
      <c r="V239" s="72" t="str">
        <f>IFERROR(__xludf.DUMMYFUNCTION("""COMPUTED_VALUE""")," Trading Below $10 (Common)           ")</f>
        <v> Trading Below $10 (Common)           </v>
      </c>
      <c r="W239" s="73"/>
      <c r="X239" s="74"/>
      <c r="Y239" s="75"/>
      <c r="Z239" s="60"/>
      <c r="AA239" s="60"/>
      <c r="AB239" s="60"/>
      <c r="AC239" s="60"/>
      <c r="AD239" s="73"/>
      <c r="AE239" s="73"/>
      <c r="AF239" s="76"/>
      <c r="AG239" s="60" t="str">
        <f>IFERROR(__xludf.DUMMYFUNCTION("""COMPUTED_VALUE"""),"")</f>
        <v/>
      </c>
    </row>
    <row r="240">
      <c r="A240" s="54" t="str">
        <f>IFERROR(__xludf.DUMMYFUNCTION("""COMPUTED_VALUE"""),"ENNV")</f>
        <v>ENNV</v>
      </c>
      <c r="B240" s="55" t="str">
        <f>IFERROR(__xludf.DUMMYFUNCTION("""COMPUTED_VALUE"""),"ECP Environmental Growth Opportunities Corp.")</f>
        <v>ECP Environmental Growth Opportunities Corp.</v>
      </c>
      <c r="C240" s="56" t="str">
        <f>IFERROR(__xludf.DUMMYFUNCTION("""COMPUTED_VALUE"""),"Searching")</f>
        <v>Searching</v>
      </c>
      <c r="D240" s="57" t="str">
        <f>IFERROR(__xludf.DUMMYFUNCTION("""COMPUTED_VALUE"""),"Sustainable energy production, Sustainability")</f>
        <v>Sustainable energy production, Sustainability</v>
      </c>
      <c r="E240" s="58"/>
      <c r="F240" s="59" t="str">
        <f>IFERROR(__xludf.DUMMYFUNCTION("""COMPUTED_VALUE"""),"Doug Kimmelman (Founder, Energy Capital Partners)")</f>
        <v>Doug Kimmelman (Founder, Energy Capital Partners)</v>
      </c>
      <c r="G240" s="60">
        <f>IFERROR(__xludf.DUMMYFUNCTION("""COMPUTED_VALUE"""),3.45E8)</f>
        <v>345000000</v>
      </c>
      <c r="H240" s="60">
        <f>IFERROR(__xludf.DUMMYFUNCTION("""COMPUTED_VALUE"""),3.43275E8)</f>
        <v>343275000</v>
      </c>
      <c r="I240" s="61">
        <f>IFERROR(__xludf.DUMMYFUNCTION("""COMPUTED_VALUE"""),9.95)</f>
        <v>9.95</v>
      </c>
      <c r="J240" s="62">
        <f>IFERROR(__xludf.DUMMYFUNCTION("""COMPUTED_VALUE"""),-0.0197)</f>
        <v>-0.0197</v>
      </c>
      <c r="K240" s="59">
        <f>IFERROR(__xludf.DUMMYFUNCTION("""COMPUTED_VALUE"""),10.255)</f>
        <v>10.255</v>
      </c>
      <c r="L240" s="63">
        <f>IFERROR(__xludf.DUMMYFUNCTION("""COMPUTED_VALUE"""),1.365)</f>
        <v>1.365</v>
      </c>
      <c r="M240" s="64" t="str">
        <f>IFERROR(__xludf.DUMMYFUNCTION("""COMPUTED_VALUE"""),"U: [1/4 W]; W: [1:1, $11.5]")</f>
        <v>U: [1/4 W]; W: [1:1, $11.5]</v>
      </c>
      <c r="N240" s="65" t="str">
        <f>IFERROR(__xludf.DUMMYFUNCTION("""COMPUTED_VALUE"""),"")</f>
        <v/>
      </c>
      <c r="O240" s="66">
        <f>IFERROR(__xludf.DUMMYFUNCTION("""COMPUTED_VALUE"""),0.0)</f>
        <v>0</v>
      </c>
      <c r="P240" s="67">
        <f>IFERROR(__xludf.DUMMYFUNCTION("""COMPUTED_VALUE"""),44235.0)</f>
        <v>44235</v>
      </c>
      <c r="Q240" s="68">
        <f>IFERROR(__xludf.DUMMYFUNCTION("""COMPUTED_VALUE"""),345.0)</f>
        <v>345</v>
      </c>
      <c r="R240" s="69" t="str">
        <f>IFERROR(__xludf.DUMMYFUNCTION("""COMPUTED_VALUE"""),"Barclays, Morgan Stanley")</f>
        <v>Barclays, Morgan Stanley</v>
      </c>
      <c r="S240" s="64">
        <f>IFERROR(__xludf.DUMMYFUNCTION("""COMPUTED_VALUE"""),44965.0)</f>
        <v>44965</v>
      </c>
      <c r="T240" s="70">
        <f>IFERROR(__xludf.DUMMYFUNCTION("""COMPUTED_VALUE"""),0.08356164383561644)</f>
        <v>0.08356164384</v>
      </c>
      <c r="U240" s="71" t="str">
        <f>IFERROR(__xludf.DUMMYFUNCTION("""COMPUTED_VALUE"""),"https://www.sec.gov/cgi-bin/browse-edgar?CIK=1832351")</f>
        <v>https://www.sec.gov/cgi-bin/browse-edgar?CIK=1832351</v>
      </c>
      <c r="V240" s="72" t="str">
        <f>IFERROR(__xludf.DUMMYFUNCTION("""COMPUTED_VALUE""")," Trading Below $10 (Common)          Top Tier UW ")</f>
        <v> Trading Below $10 (Common)          Top Tier UW </v>
      </c>
      <c r="W240" s="73"/>
      <c r="X240" s="74"/>
      <c r="Y240" s="75"/>
      <c r="Z240" s="60"/>
      <c r="AA240" s="60"/>
      <c r="AB240" s="60"/>
      <c r="AC240" s="60"/>
      <c r="AD240" s="73"/>
      <c r="AE240" s="73"/>
      <c r="AF240" s="76"/>
      <c r="AG240" s="60" t="str">
        <f>IFERROR(__xludf.DUMMYFUNCTION("""COMPUTED_VALUE"""),"")</f>
        <v/>
      </c>
    </row>
    <row r="241">
      <c r="A241" s="54" t="str">
        <f>IFERROR(__xludf.DUMMYFUNCTION("""COMPUTED_VALUE"""),"ENPC")</f>
        <v>ENPC</v>
      </c>
      <c r="B241" s="55" t="str">
        <f>IFERROR(__xludf.DUMMYFUNCTION("""COMPUTED_VALUE"""),"Executive Network Partnering Corp.")</f>
        <v>Executive Network Partnering Corp.</v>
      </c>
      <c r="C241" s="56" t="str">
        <f>IFERROR(__xludf.DUMMYFUNCTION("""COMPUTED_VALUE"""),"Searching")</f>
        <v>Searching</v>
      </c>
      <c r="D241" s="57"/>
      <c r="E241" s="58"/>
      <c r="F241" s="59" t="str">
        <f>IFERROR(__xludf.DUMMYFUNCTION("""COMPUTED_VALUE"""),"Paul Ryan (Former Speaker of the House), Alex Dunn (Former President, Vivint Smart Home)")</f>
        <v>Paul Ryan (Former Speaker of the House), Alex Dunn (Former President, Vivint Smart Home)</v>
      </c>
      <c r="G241" s="60">
        <f>IFERROR(__xludf.DUMMYFUNCTION("""COMPUTED_VALUE"""),4.14E8)</f>
        <v>414000000</v>
      </c>
      <c r="H241" s="60">
        <f>IFERROR(__xludf.DUMMYFUNCTION("""COMPUTED_VALUE"""),4.1299762E8)</f>
        <v>412997620</v>
      </c>
      <c r="I241" s="61">
        <f>IFERROR(__xludf.DUMMYFUNCTION("""COMPUTED_VALUE"""),9.83)</f>
        <v>9.83</v>
      </c>
      <c r="J241" s="62">
        <f>IFERROR(__xludf.DUMMYFUNCTION("""COMPUTED_VALUE"""),-0.00102)</f>
        <v>-0.00102</v>
      </c>
      <c r="K241" s="59">
        <f>IFERROR(__xludf.DUMMYFUNCTION("""COMPUTED_VALUE"""),10.05)</f>
        <v>10.05</v>
      </c>
      <c r="L241" s="63">
        <f>IFERROR(__xludf.DUMMYFUNCTION("""COMPUTED_VALUE"""),1.06)</f>
        <v>1.06</v>
      </c>
      <c r="M241" s="64" t="str">
        <f>IFERROR(__xludf.DUMMYFUNCTION("""COMPUTED_VALUE"""),"U: [$25, 1/4 W]; W: [1:1, $28.75]")</f>
        <v>U: [$25, 1/4 W]; W: [1:1, $28.75]</v>
      </c>
      <c r="N241" s="65" t="str">
        <f>IFERROR(__xludf.DUMMYFUNCTION("""COMPUTED_VALUE"""),"")</f>
        <v/>
      </c>
      <c r="O241" s="66">
        <f>IFERROR(__xludf.DUMMYFUNCTION("""COMPUTED_VALUE"""),0.0)</f>
        <v>0</v>
      </c>
      <c r="P241" s="67">
        <f>IFERROR(__xludf.DUMMYFUNCTION("""COMPUTED_VALUE"""),44090.0)</f>
        <v>44090</v>
      </c>
      <c r="Q241" s="68">
        <f>IFERROR(__xludf.DUMMYFUNCTION("""COMPUTED_VALUE"""),414.0)</f>
        <v>414</v>
      </c>
      <c r="R241" s="85" t="str">
        <f>IFERROR(__xludf.DUMMYFUNCTION("""COMPUTED_VALUE"""),"Evercore ISI")</f>
        <v>Evercore ISI</v>
      </c>
      <c r="S241" s="64">
        <f>IFERROR(__xludf.DUMMYFUNCTION("""COMPUTED_VALUE"""),44820.0)</f>
        <v>44820</v>
      </c>
      <c r="T241" s="70">
        <f>IFERROR(__xludf.DUMMYFUNCTION("""COMPUTED_VALUE"""),0.2821917808219178)</f>
        <v>0.2821917808</v>
      </c>
      <c r="U241" s="71" t="str">
        <f>IFERROR(__xludf.DUMMYFUNCTION("""COMPUTED_VALUE"""),"https://www.sec.gov/cgi-bin/browse-edgar?CIK=1816261")</f>
        <v>https://www.sec.gov/cgi-bin/browse-edgar?CIK=1816261</v>
      </c>
      <c r="V241" s="72" t="str">
        <f>IFERROR(__xludf.DUMMYFUNCTION("""COMPUTED_VALUE""")," Trading Below $10 (Common)        Well-known Sponsor   ")</f>
        <v> Trading Below $10 (Common)        Well-known Sponsor   </v>
      </c>
      <c r="W241" s="73"/>
      <c r="X241" s="74"/>
      <c r="Y241" s="75"/>
      <c r="Z241" s="60"/>
      <c r="AA241" s="60"/>
      <c r="AB241" s="60"/>
      <c r="AC241" s="60"/>
      <c r="AD241" s="73"/>
      <c r="AE241" s="73"/>
      <c r="AF241" s="76"/>
      <c r="AG241" s="60" t="str">
        <f>IFERROR(__xludf.DUMMYFUNCTION("""COMPUTED_VALUE"""),"")</f>
        <v/>
      </c>
    </row>
    <row r="242">
      <c r="A242" s="54" t="str">
        <f>IFERROR(__xludf.DUMMYFUNCTION("""COMPUTED_VALUE"""),"ENVI")</f>
        <v>ENVI</v>
      </c>
      <c r="B242" s="55" t="str">
        <f>IFERROR(__xludf.DUMMYFUNCTION("""COMPUTED_VALUE"""),"Environmental Impact Acquisition Corp.")</f>
        <v>Environmental Impact Acquisition Corp.</v>
      </c>
      <c r="C242" s="56" t="str">
        <f>IFERROR(__xludf.DUMMYFUNCTION("""COMPUTED_VALUE"""),"Searching")</f>
        <v>Searching</v>
      </c>
      <c r="D242" s="57" t="str">
        <f>IFERROR(__xludf.DUMMYFUNCTION("""COMPUTED_VALUE"""),"Sustainability")</f>
        <v>Sustainability</v>
      </c>
      <c r="E242" s="58"/>
      <c r="F242" s="59" t="str">
        <f>IFERROR(__xludf.DUMMYFUNCTION("""COMPUTED_VALUE"""),"Daniel Coyne (Co-Head US Investment Banking, Canaccord)")</f>
        <v>Daniel Coyne (Co-Head US Investment Banking, Canaccord)</v>
      </c>
      <c r="G242" s="60">
        <f>IFERROR(__xludf.DUMMYFUNCTION("""COMPUTED_VALUE"""),2.07E8)</f>
        <v>207000000</v>
      </c>
      <c r="H242" s="60">
        <f>IFERROR(__xludf.DUMMYFUNCTION("""COMPUTED_VALUE"""),2.0286E8)</f>
        <v>202860000</v>
      </c>
      <c r="I242" s="61">
        <f>IFERROR(__xludf.DUMMYFUNCTION("""COMPUTED_VALUE"""),9.8)</f>
        <v>9.8</v>
      </c>
      <c r="J242" s="62">
        <f>IFERROR(__xludf.DUMMYFUNCTION("""COMPUTED_VALUE"""),0.00204)</f>
        <v>0.00204</v>
      </c>
      <c r="K242" s="59">
        <f>IFERROR(__xludf.DUMMYFUNCTION("""COMPUTED_VALUE"""),10.21)</f>
        <v>10.21</v>
      </c>
      <c r="L242" s="63">
        <f>IFERROR(__xludf.DUMMYFUNCTION("""COMPUTED_VALUE"""),0.87)</f>
        <v>0.87</v>
      </c>
      <c r="M242" s="64" t="str">
        <f>IFERROR(__xludf.DUMMYFUNCTION("""COMPUTED_VALUE"""),"U: [1/2 W]; W: [1:1, $11.5]")</f>
        <v>U: [1/2 W]; W: [1:1, $11.5]</v>
      </c>
      <c r="N242" s="65">
        <f>IFERROR(__xludf.DUMMYFUNCTION("""COMPUTED_VALUE"""),44263.0)</f>
        <v>44263</v>
      </c>
      <c r="O242" s="66">
        <f>IFERROR(__xludf.DUMMYFUNCTION("""COMPUTED_VALUE"""),0.0)</f>
        <v>0</v>
      </c>
      <c r="P242" s="67">
        <f>IFERROR(__xludf.DUMMYFUNCTION("""COMPUTED_VALUE"""),44209.0)</f>
        <v>44209</v>
      </c>
      <c r="Q242" s="68">
        <f>IFERROR(__xludf.DUMMYFUNCTION("""COMPUTED_VALUE"""),207.0)</f>
        <v>207</v>
      </c>
      <c r="R242" s="69" t="str">
        <f>IFERROR(__xludf.DUMMYFUNCTION("""COMPUTED_VALUE"""),"Canaccord Genuity")</f>
        <v>Canaccord Genuity</v>
      </c>
      <c r="S242" s="64">
        <f>IFERROR(__xludf.DUMMYFUNCTION("""COMPUTED_VALUE"""),44939.0)</f>
        <v>44939</v>
      </c>
      <c r="T242" s="70">
        <f>IFERROR(__xludf.DUMMYFUNCTION("""COMPUTED_VALUE"""),0.11917808219178082)</f>
        <v>0.1191780822</v>
      </c>
      <c r="U242" s="71" t="str">
        <f>IFERROR(__xludf.DUMMYFUNCTION("""COMPUTED_VALUE"""),"https://www.sec.gov/cgi-bin/browse-edgar?CIK=1822691")</f>
        <v>https://www.sec.gov/cgi-bin/browse-edgar?CIK=1822691</v>
      </c>
      <c r="V242" s="72" t="str">
        <f>IFERROR(__xludf.DUMMYFUNCTION("""COMPUTED_VALUE"""),"Sustainability Trading Below $10 (Common)           ")</f>
        <v>Sustainability Trading Below $10 (Common)           </v>
      </c>
      <c r="W242" s="73"/>
      <c r="X242" s="74"/>
      <c r="Y242" s="75"/>
      <c r="Z242" s="60"/>
      <c r="AA242" s="60"/>
      <c r="AB242" s="60"/>
      <c r="AC242" s="60"/>
      <c r="AD242" s="73"/>
      <c r="AE242" s="73"/>
      <c r="AF242" s="76"/>
      <c r="AG242" s="60" t="str">
        <f>IFERROR(__xludf.DUMMYFUNCTION("""COMPUTED_VALUE"""),"")</f>
        <v/>
      </c>
    </row>
    <row r="243">
      <c r="A243" s="54" t="str">
        <f>IFERROR(__xludf.DUMMYFUNCTION("""COMPUTED_VALUE"""),"EPHY")</f>
        <v>EPHY</v>
      </c>
      <c r="B243" s="55" t="str">
        <f>IFERROR(__xludf.DUMMYFUNCTION("""COMPUTED_VALUE"""),"Epiphany Technology Acquisition Corp.")</f>
        <v>Epiphany Technology Acquisition Corp.</v>
      </c>
      <c r="C243" s="56" t="str">
        <f>IFERROR(__xludf.DUMMYFUNCTION("""COMPUTED_VALUE"""),"Searching")</f>
        <v>Searching</v>
      </c>
      <c r="D243" s="57" t="str">
        <f>IFERROR(__xludf.DUMMYFUNCTION("""COMPUTED_VALUE"""),"Tech")</f>
        <v>Tech</v>
      </c>
      <c r="E243" s="58"/>
      <c r="F243" s="59" t="str">
        <f>IFERROR(__xludf.DUMMYFUNCTION("""COMPUTED_VALUE"""),"Arthur Coviello (Fmr Pres/CEO, RSA), JD Sherman (Fmr COO, HubSpot)")</f>
        <v>Arthur Coviello (Fmr Pres/CEO, RSA), JD Sherman (Fmr COO, HubSpot)</v>
      </c>
      <c r="G243" s="60">
        <f>IFERROR(__xludf.DUMMYFUNCTION("""COMPUTED_VALUE"""),4.025E8)</f>
        <v>402500000</v>
      </c>
      <c r="H243" s="60">
        <f>IFERROR(__xludf.DUMMYFUNCTION("""COMPUTED_VALUE"""),4.0229E8)</f>
        <v>402290000</v>
      </c>
      <c r="I243" s="61">
        <f>IFERROR(__xludf.DUMMYFUNCTION("""COMPUTED_VALUE"""),9.8)</f>
        <v>9.8</v>
      </c>
      <c r="J243" s="62">
        <f>IFERROR(__xludf.DUMMYFUNCTION("""COMPUTED_VALUE"""),0.00307)</f>
        <v>0.00307</v>
      </c>
      <c r="K243" s="59">
        <f>IFERROR(__xludf.DUMMYFUNCTION("""COMPUTED_VALUE"""),10.099)</f>
        <v>10.099</v>
      </c>
      <c r="L243" s="63">
        <f>IFERROR(__xludf.DUMMYFUNCTION("""COMPUTED_VALUE"""),0.8612)</f>
        <v>0.8612</v>
      </c>
      <c r="M243" s="64" t="str">
        <f>IFERROR(__xludf.DUMMYFUNCTION("""COMPUTED_VALUE"""),"U: [1/3 W]; W: [1:1, $11.5]")</f>
        <v>U: [1/3 W]; W: [1:1, $11.5]</v>
      </c>
      <c r="N243" s="65" t="str">
        <f>IFERROR(__xludf.DUMMYFUNCTION("""COMPUTED_VALUE"""),"")</f>
        <v/>
      </c>
      <c r="O243" s="66">
        <f>IFERROR(__xludf.DUMMYFUNCTION("""COMPUTED_VALUE"""),0.0)</f>
        <v>0</v>
      </c>
      <c r="P243" s="67">
        <f>IFERROR(__xludf.DUMMYFUNCTION("""COMPUTED_VALUE"""),44203.0)</f>
        <v>44203</v>
      </c>
      <c r="Q243" s="68">
        <f>IFERROR(__xludf.DUMMYFUNCTION("""COMPUTED_VALUE"""),402.5)</f>
        <v>402.5</v>
      </c>
      <c r="R243" s="85" t="str">
        <f>IFERROR(__xludf.DUMMYFUNCTION("""COMPUTED_VALUE"""),"Cantor")</f>
        <v>Cantor</v>
      </c>
      <c r="S243" s="64">
        <f>IFERROR(__xludf.DUMMYFUNCTION("""COMPUTED_VALUE"""),44933.0)</f>
        <v>44933</v>
      </c>
      <c r="T243" s="70">
        <f>IFERROR(__xludf.DUMMYFUNCTION("""COMPUTED_VALUE"""),0.1273972602739726)</f>
        <v>0.1273972603</v>
      </c>
      <c r="U243" s="71" t="str">
        <f>IFERROR(__xludf.DUMMYFUNCTION("""COMPUTED_VALUE"""),"https://www.sec.gov/cgi-bin/browse-edgar?CIK=1827248")</f>
        <v>https://www.sec.gov/cgi-bin/browse-edgar?CIK=1827248</v>
      </c>
      <c r="V243" s="72" t="str">
        <f>IFERROR(__xludf.DUMMYFUNCTION("""COMPUTED_VALUE""")," Trading Below $10 (Common)           ")</f>
        <v> Trading Below $10 (Common)           </v>
      </c>
      <c r="W243" s="73"/>
      <c r="X243" s="74"/>
      <c r="Y243" s="75"/>
      <c r="Z243" s="60"/>
      <c r="AA243" s="60"/>
      <c r="AB243" s="60"/>
      <c r="AC243" s="60"/>
      <c r="AD243" s="73"/>
      <c r="AE243" s="73"/>
      <c r="AF243" s="76"/>
      <c r="AG243" s="60" t="str">
        <f>IFERROR(__xludf.DUMMYFUNCTION("""COMPUTED_VALUE"""),"")</f>
        <v/>
      </c>
    </row>
    <row r="244">
      <c r="A244" s="54" t="str">
        <f>IFERROR(__xludf.DUMMYFUNCTION("""COMPUTED_VALUE"""),"EPWR")</f>
        <v>EPWR</v>
      </c>
      <c r="B244" s="55" t="str">
        <f>IFERROR(__xludf.DUMMYFUNCTION("""COMPUTED_VALUE"""),"Empowerment &amp; Inclusion Capital I Corp.")</f>
        <v>Empowerment &amp; Inclusion Capital I Corp.</v>
      </c>
      <c r="C244" s="56" t="str">
        <f>IFERROR(__xludf.DUMMYFUNCTION("""COMPUTED_VALUE"""),"Searching")</f>
        <v>Searching</v>
      </c>
      <c r="D244" s="57" t="str">
        <f>IFERROR(__xludf.DUMMYFUNCTION("""COMPUTED_VALUE"""),"Diverse or Inclusive ")</f>
        <v>Diverse or Inclusive </v>
      </c>
      <c r="E244" s="58"/>
      <c r="F244" s="59" t="str">
        <f>IFERROR(__xludf.DUMMYFUNCTION("""COMPUTED_VALUE"""),"Harold Ford Jr. (Fmr US Congressman - TN, Exec VP Corporate Banking, PNC)")</f>
        <v>Harold Ford Jr. (Fmr US Congressman - TN, Exec VP Corporate Banking, PNC)</v>
      </c>
      <c r="G244" s="60">
        <f>IFERROR(__xludf.DUMMYFUNCTION("""COMPUTED_VALUE"""),2.76E8)</f>
        <v>276000000</v>
      </c>
      <c r="H244" s="60">
        <f>IFERROR(__xludf.DUMMYFUNCTION("""COMPUTED_VALUE"""),2.71584E8)</f>
        <v>271584000</v>
      </c>
      <c r="I244" s="61">
        <f>IFERROR(__xludf.DUMMYFUNCTION("""COMPUTED_VALUE"""),9.84)</f>
        <v>9.84</v>
      </c>
      <c r="J244" s="62">
        <f>IFERROR(__xludf.DUMMYFUNCTION("""COMPUTED_VALUE"""),0.01027)</f>
        <v>0.01027</v>
      </c>
      <c r="K244" s="59">
        <f>IFERROR(__xludf.DUMMYFUNCTION("""COMPUTED_VALUE"""),10.04)</f>
        <v>10.04</v>
      </c>
      <c r="L244" s="63">
        <f>IFERROR(__xludf.DUMMYFUNCTION("""COMPUTED_VALUE"""),0.57)</f>
        <v>0.57</v>
      </c>
      <c r="M244" s="64" t="str">
        <f>IFERROR(__xludf.DUMMYFUNCTION("""COMPUTED_VALUE"""),"U: [1/2 W]; W: [1:1, $11.5]")</f>
        <v>U: [1/2 W]; W: [1:1, $11.5]</v>
      </c>
      <c r="N244" s="65">
        <f>IFERROR(__xludf.DUMMYFUNCTION("""COMPUTED_VALUE"""),44256.0)</f>
        <v>44256</v>
      </c>
      <c r="O244" s="66">
        <f>IFERROR(__xludf.DUMMYFUNCTION("""COMPUTED_VALUE"""),0.0)</f>
        <v>0</v>
      </c>
      <c r="P244" s="67">
        <f>IFERROR(__xludf.DUMMYFUNCTION("""COMPUTED_VALUE"""),44203.0)</f>
        <v>44203</v>
      </c>
      <c r="Q244" s="68">
        <f>IFERROR(__xludf.DUMMYFUNCTION("""COMPUTED_VALUE"""),276.0)</f>
        <v>276</v>
      </c>
      <c r="R244" s="69" t="str">
        <f>IFERROR(__xludf.DUMMYFUNCTION("""COMPUTED_VALUE"""),"Jefferies, Siebert Williams Shank")</f>
        <v>Jefferies, Siebert Williams Shank</v>
      </c>
      <c r="S244" s="64">
        <f>IFERROR(__xludf.DUMMYFUNCTION("""COMPUTED_VALUE"""),44933.0)</f>
        <v>44933</v>
      </c>
      <c r="T244" s="70">
        <f>IFERROR(__xludf.DUMMYFUNCTION("""COMPUTED_VALUE"""),0.1273972602739726)</f>
        <v>0.1273972603</v>
      </c>
      <c r="U244" s="71" t="str">
        <f>IFERROR(__xludf.DUMMYFUNCTION("""COMPUTED_VALUE"""),"https://www.sec.gov/cgi-bin/browse-edgar?CIK=1825720")</f>
        <v>https://www.sec.gov/cgi-bin/browse-edgar?CIK=1825720</v>
      </c>
      <c r="V244" s="72" t="str">
        <f>IFERROR(__xludf.DUMMYFUNCTION("""COMPUTED_VALUE""")," Trading Below $10 (Common)           ")</f>
        <v> Trading Below $10 (Common)           </v>
      </c>
      <c r="W244" s="73"/>
      <c r="X244" s="74"/>
      <c r="Y244" s="75"/>
      <c r="Z244" s="60"/>
      <c r="AA244" s="60"/>
      <c r="AB244" s="60"/>
      <c r="AC244" s="60"/>
      <c r="AD244" s="73"/>
      <c r="AE244" s="73"/>
      <c r="AF244" s="76"/>
      <c r="AG244" s="60" t="str">
        <f>IFERROR(__xludf.DUMMYFUNCTION("""COMPUTED_VALUE"""),"")</f>
        <v/>
      </c>
    </row>
    <row r="245">
      <c r="A245" s="54" t="str">
        <f>IFERROR(__xludf.DUMMYFUNCTION("""COMPUTED_VALUE"""),"EQD")</f>
        <v>EQD</v>
      </c>
      <c r="B245" s="55" t="str">
        <f>IFERROR(__xludf.DUMMYFUNCTION("""COMPUTED_VALUE"""),"Equity Distribution Acquisition Corp.")</f>
        <v>Equity Distribution Acquisition Corp.</v>
      </c>
      <c r="C245" s="56" t="str">
        <f>IFERROR(__xludf.DUMMYFUNCTION("""COMPUTED_VALUE"""),"Searching")</f>
        <v>Searching</v>
      </c>
      <c r="D245" s="57" t="str">
        <f>IFERROR(__xludf.DUMMYFUNCTION("""COMPUTED_VALUE"""),"Industrial Tech, Industrial Distribution Tech")</f>
        <v>Industrial Tech, Industrial Distribution Tech</v>
      </c>
      <c r="E245" s="58"/>
      <c r="F245" s="59" t="str">
        <f>IFERROR(__xludf.DUMMYFUNCTION("""COMPUTED_VALUE"""),"Sam Zell (Chairman, EGI; Chairman, Equity Residential), Bill Simon (Former CEO of Walmart US)")</f>
        <v>Sam Zell (Chairman, EGI; Chairman, Equity Residential), Bill Simon (Former CEO of Walmart US)</v>
      </c>
      <c r="G245" s="60">
        <f>IFERROR(__xludf.DUMMYFUNCTION("""COMPUTED_VALUE"""),4.14118187E8)</f>
        <v>414118187</v>
      </c>
      <c r="H245" s="60">
        <f>IFERROR(__xludf.DUMMYFUNCTION("""COMPUTED_VALUE"""),1.88144441E8)</f>
        <v>188144441</v>
      </c>
      <c r="I245" s="61">
        <f>IFERROR(__xludf.DUMMYFUNCTION("""COMPUTED_VALUE"""),9.95)</f>
        <v>9.95</v>
      </c>
      <c r="J245" s="62">
        <f>IFERROR(__xludf.DUMMYFUNCTION("""COMPUTED_VALUE"""),0.00201)</f>
        <v>0.00201</v>
      </c>
      <c r="K245" s="59">
        <f>IFERROR(__xludf.DUMMYFUNCTION("""COMPUTED_VALUE"""),10.22)</f>
        <v>10.22</v>
      </c>
      <c r="L245" s="63">
        <f>IFERROR(__xludf.DUMMYFUNCTION("""COMPUTED_VALUE"""),1.12)</f>
        <v>1.12</v>
      </c>
      <c r="M245" s="64" t="str">
        <f>IFERROR(__xludf.DUMMYFUNCTION("""COMPUTED_VALUE"""),"U: [1/3 W]; W: [1:1, $11.5]")</f>
        <v>U: [1/3 W]; W: [1:1, $11.5]</v>
      </c>
      <c r="N245" s="65" t="str">
        <f>IFERROR(__xludf.DUMMYFUNCTION("""COMPUTED_VALUE"""),"")</f>
        <v/>
      </c>
      <c r="O245" s="66">
        <f>IFERROR(__xludf.DUMMYFUNCTION("""COMPUTED_VALUE"""),0.0)</f>
        <v>0</v>
      </c>
      <c r="P245" s="67">
        <f>IFERROR(__xludf.DUMMYFUNCTION("""COMPUTED_VALUE"""),44090.0)</f>
        <v>44090</v>
      </c>
      <c r="Q245" s="68">
        <f>IFERROR(__xludf.DUMMYFUNCTION("""COMPUTED_VALUE"""),414.0)</f>
        <v>414</v>
      </c>
      <c r="R245" s="85" t="str">
        <f>IFERROR(__xludf.DUMMYFUNCTION("""COMPUTED_VALUE"""),"Credit Suisse")</f>
        <v>Credit Suisse</v>
      </c>
      <c r="S245" s="64">
        <f>IFERROR(__xludf.DUMMYFUNCTION("""COMPUTED_VALUE"""),44820.0)</f>
        <v>44820</v>
      </c>
      <c r="T245" s="70">
        <f>IFERROR(__xludf.DUMMYFUNCTION("""COMPUTED_VALUE"""),0.2821917808219178)</f>
        <v>0.2821917808</v>
      </c>
      <c r="U245" s="71" t="str">
        <f>IFERROR(__xludf.DUMMYFUNCTION("""COMPUTED_VALUE"""),"https://www.sec.gov/cgi-bin/browse-edgar?CIK=1818221")</f>
        <v>https://www.sec.gov/cgi-bin/browse-edgar?CIK=1818221</v>
      </c>
      <c r="V245" s="72" t="str">
        <f>IFERROR(__xludf.DUMMYFUNCTION("""COMPUTED_VALUE""")," Trading Below $10 (Common)        Well-known Sponsor   ")</f>
        <v> Trading Below $10 (Common)        Well-known Sponsor   </v>
      </c>
      <c r="W245" s="73"/>
      <c r="X245" s="74"/>
      <c r="Y245" s="75"/>
      <c r="Z245" s="60"/>
      <c r="AA245" s="60"/>
      <c r="AB245" s="60"/>
      <c r="AC245" s="60"/>
      <c r="AD245" s="73"/>
      <c r="AE245" s="73"/>
      <c r="AF245" s="76"/>
      <c r="AG245" s="60" t="str">
        <f>IFERROR(__xludf.DUMMYFUNCTION("""COMPUTED_VALUE"""),"")</f>
        <v/>
      </c>
    </row>
    <row r="246">
      <c r="A246" s="54" t="str">
        <f>IFERROR(__xludf.DUMMYFUNCTION("""COMPUTED_VALUE"""),"EQHA")</f>
        <v>EQHA</v>
      </c>
      <c r="B246" s="55" t="str">
        <f>IFERROR(__xludf.DUMMYFUNCTION("""COMPUTED_VALUE"""),"EQ Health Acquisition Corp.")</f>
        <v>EQ Health Acquisition Corp.</v>
      </c>
      <c r="C246" s="56" t="str">
        <f>IFERROR(__xludf.DUMMYFUNCTION("""COMPUTED_VALUE"""),"Searching")</f>
        <v>Searching</v>
      </c>
      <c r="D246" s="57" t="str">
        <f>IFERROR(__xludf.DUMMYFUNCTION("""COMPUTED_VALUE"""),"Healthcare Services")</f>
        <v>Healthcare Services</v>
      </c>
      <c r="E246" s="58"/>
      <c r="F246" s="59"/>
      <c r="G246" s="60">
        <f>IFERROR(__xludf.DUMMYFUNCTION("""COMPUTED_VALUE"""),2.199996E8)</f>
        <v>219999600</v>
      </c>
      <c r="H246" s="60">
        <f>IFERROR(__xludf.DUMMYFUNCTION("""COMPUTED_VALUE"""),2.15379608E8)</f>
        <v>215379608</v>
      </c>
      <c r="I246" s="61">
        <f>IFERROR(__xludf.DUMMYFUNCTION("""COMPUTED_VALUE"""),9.79)</f>
        <v>9.79</v>
      </c>
      <c r="J246" s="62">
        <f>IFERROR(__xludf.DUMMYFUNCTION("""COMPUTED_VALUE"""),0.0072)</f>
        <v>0.0072</v>
      </c>
      <c r="K246" s="59">
        <f>IFERROR(__xludf.DUMMYFUNCTION("""COMPUTED_VALUE"""),9.975)</f>
        <v>9.975</v>
      </c>
      <c r="L246" s="63">
        <f>IFERROR(__xludf.DUMMYFUNCTION("""COMPUTED_VALUE"""),0.56)</f>
        <v>0.56</v>
      </c>
      <c r="M246" s="64" t="str">
        <f>IFERROR(__xludf.DUMMYFUNCTION("""COMPUTED_VALUE"""),"U: [1/2 W]; W: [1:1, $11.5]")</f>
        <v>U: [1/2 W]; W: [1:1, $11.5]</v>
      </c>
      <c r="N246" s="65" t="str">
        <f>IFERROR(__xludf.DUMMYFUNCTION("""COMPUTED_VALUE"""),"")</f>
        <v/>
      </c>
      <c r="O246" s="66">
        <f>IFERROR(__xludf.DUMMYFUNCTION("""COMPUTED_VALUE"""),0.0)</f>
        <v>0</v>
      </c>
      <c r="P246" s="67">
        <f>IFERROR(__xludf.DUMMYFUNCTION("""COMPUTED_VALUE"""),44225.0)</f>
        <v>44225</v>
      </c>
      <c r="Q246" s="68">
        <f>IFERROR(__xludf.DUMMYFUNCTION("""COMPUTED_VALUE"""),219.9996)</f>
        <v>219.9996</v>
      </c>
      <c r="R246" s="85" t="str">
        <f>IFERROR(__xludf.DUMMYFUNCTION("""COMPUTED_VALUE"""),"Jefferies, BTIG")</f>
        <v>Jefferies, BTIG</v>
      </c>
      <c r="S246" s="64">
        <f>IFERROR(__xludf.DUMMYFUNCTION("""COMPUTED_VALUE"""),44955.0)</f>
        <v>44955</v>
      </c>
      <c r="T246" s="70">
        <f>IFERROR(__xludf.DUMMYFUNCTION("""COMPUTED_VALUE"""),0.09726027397260274)</f>
        <v>0.09726027397</v>
      </c>
      <c r="U246" s="71" t="str">
        <f>IFERROR(__xludf.DUMMYFUNCTION("""COMPUTED_VALUE"""),"https://www.sec.gov/cgi-bin/browse-edgar?CIK=1826729")</f>
        <v>https://www.sec.gov/cgi-bin/browse-edgar?CIK=1826729</v>
      </c>
      <c r="V246" s="72" t="str">
        <f>IFERROR(__xludf.DUMMYFUNCTION("""COMPUTED_VALUE""")," Trading Below $10 (Common)           ")</f>
        <v> Trading Below $10 (Common)           </v>
      </c>
      <c r="W246" s="73"/>
      <c r="X246" s="74"/>
      <c r="Y246" s="75"/>
      <c r="Z246" s="60"/>
      <c r="AA246" s="60"/>
      <c r="AB246" s="60"/>
      <c r="AC246" s="60"/>
      <c r="AD246" s="73"/>
      <c r="AE246" s="73"/>
      <c r="AF246" s="76"/>
      <c r="AG246" s="60" t="str">
        <f>IFERROR(__xludf.DUMMYFUNCTION("""COMPUTED_VALUE"""),"")</f>
        <v/>
      </c>
    </row>
    <row r="247">
      <c r="A247" s="54" t="str">
        <f>IFERROR(__xludf.DUMMYFUNCTION("""COMPUTED_VALUE"""),"ERES")</f>
        <v>ERES</v>
      </c>
      <c r="B247" s="55" t="str">
        <f>IFERROR(__xludf.DUMMYFUNCTION("""COMPUTED_VALUE"""),"East Resources Acquisition")</f>
        <v>East Resources Acquisition</v>
      </c>
      <c r="C247" s="56" t="str">
        <f>IFERROR(__xludf.DUMMYFUNCTION("""COMPUTED_VALUE"""),"Searching")</f>
        <v>Searching</v>
      </c>
      <c r="D247" s="77" t="str">
        <f>IFERROR(__xludf.DUMMYFUNCTION("""COMPUTED_VALUE"""),"Energy")</f>
        <v>Energy</v>
      </c>
      <c r="E247" s="58"/>
      <c r="F247" s="59" t="str">
        <f>IFERROR(__xludf.DUMMYFUNCTION("""COMPUTED_VALUE"""),"Terry Pegula (Owner Buffalo Bills, JKLM Energy)")</f>
        <v>Terry Pegula (Owner Buffalo Bills, JKLM Energy)</v>
      </c>
      <c r="G247" s="60">
        <f>IFERROR(__xludf.DUMMYFUNCTION("""COMPUTED_VALUE"""),3.45026104E8)</f>
        <v>345026104</v>
      </c>
      <c r="H247" s="60">
        <f>IFERROR(__xludf.DUMMYFUNCTION("""COMPUTED_VALUE"""),3.42585E8)</f>
        <v>342585000</v>
      </c>
      <c r="I247" s="61">
        <f>IFERROR(__xludf.DUMMYFUNCTION("""COMPUTED_VALUE"""),9.93)</f>
        <v>9.93</v>
      </c>
      <c r="J247" s="62">
        <f>IFERROR(__xludf.DUMMYFUNCTION("""COMPUTED_VALUE"""),0.00506)</f>
        <v>0.00506</v>
      </c>
      <c r="K247" s="59">
        <f>IFERROR(__xludf.DUMMYFUNCTION("""COMPUTED_VALUE"""),10.34)</f>
        <v>10.34</v>
      </c>
      <c r="L247" s="63">
        <f>IFERROR(__xludf.DUMMYFUNCTION("""COMPUTED_VALUE"""),1.03)</f>
        <v>1.03</v>
      </c>
      <c r="M247" s="64" t="str">
        <f>IFERROR(__xludf.DUMMYFUNCTION("""COMPUTED_VALUE"""),"U: [1/2 W]; W: [1:1, $11.5]")</f>
        <v>U: [1/2 W]; W: [1:1, $11.5]</v>
      </c>
      <c r="N247" s="65" t="str">
        <f>IFERROR(__xludf.DUMMYFUNCTION("""COMPUTED_VALUE"""),"")</f>
        <v/>
      </c>
      <c r="O247" s="66">
        <f>IFERROR(__xludf.DUMMYFUNCTION("""COMPUTED_VALUE"""),0.0)</f>
        <v>0</v>
      </c>
      <c r="P247" s="67">
        <f>IFERROR(__xludf.DUMMYFUNCTION("""COMPUTED_VALUE"""),44035.0)</f>
        <v>44035</v>
      </c>
      <c r="Q247" s="68">
        <f>IFERROR(__xludf.DUMMYFUNCTION("""COMPUTED_VALUE"""),345.0)</f>
        <v>345</v>
      </c>
      <c r="R247" s="85" t="str">
        <f>IFERROR(__xludf.DUMMYFUNCTION("""COMPUTED_VALUE"""),"Wells Fargo")</f>
        <v>Wells Fargo</v>
      </c>
      <c r="S247" s="64">
        <f>IFERROR(__xludf.DUMMYFUNCTION("""COMPUTED_VALUE"""),44765.0)</f>
        <v>44765</v>
      </c>
      <c r="T247" s="70">
        <f>IFERROR(__xludf.DUMMYFUNCTION("""COMPUTED_VALUE"""),0.35753424657534244)</f>
        <v>0.3575342466</v>
      </c>
      <c r="U247" s="71" t="str">
        <f>IFERROR(__xludf.DUMMYFUNCTION("""COMPUTED_VALUE"""),"https://www.sec.gov/cgi-bin/browse-edgar?CIK=1814287")</f>
        <v>https://www.sec.gov/cgi-bin/browse-edgar?CIK=1814287</v>
      </c>
      <c r="V247" s="72" t="str">
        <f>IFERROR(__xludf.DUMMYFUNCTION("""COMPUTED_VALUE""")," Trading Below $10 (Common)        Well-known Sponsor   ")</f>
        <v> Trading Below $10 (Common)        Well-known Sponsor   </v>
      </c>
      <c r="W247" s="73"/>
      <c r="X247" s="74"/>
      <c r="Y247" s="75"/>
      <c r="Z247" s="60"/>
      <c r="AA247" s="60"/>
      <c r="AB247" s="60"/>
      <c r="AC247" s="60"/>
      <c r="AD247" s="73"/>
      <c r="AE247" s="73"/>
      <c r="AF247" s="76"/>
      <c r="AG247" s="60" t="str">
        <f>IFERROR(__xludf.DUMMYFUNCTION("""COMPUTED_VALUE"""),"")</f>
        <v/>
      </c>
    </row>
    <row r="248">
      <c r="A248" s="54" t="str">
        <f>IFERROR(__xludf.DUMMYFUNCTION("""COMPUTED_VALUE"""),"ESM")</f>
        <v>ESM</v>
      </c>
      <c r="B248" s="55" t="str">
        <f>IFERROR(__xludf.DUMMYFUNCTION("""COMPUTED_VALUE"""),"ESM Acquisition Corp")</f>
        <v>ESM Acquisition Corp</v>
      </c>
      <c r="C248" s="56" t="str">
        <f>IFERROR(__xludf.DUMMYFUNCTION("""COMPUTED_VALUE"""),"Searching (Pre Unit Split)")</f>
        <v>Searching (Pre Unit Split)</v>
      </c>
      <c r="D248" s="77" t="str">
        <f>IFERROR(__xludf.DUMMYFUNCTION("""COMPUTED_VALUE"""),"Energy transition")</f>
        <v>Energy transition</v>
      </c>
      <c r="E248" s="58"/>
      <c r="F248" s="59" t="str">
        <f>IFERROR(__xludf.DUMMYFUNCTION("""COMPUTED_VALUE"""),"Mick Davis (Fmr CEO, Xstrata; Fmr CFO, Billiton; Fmr Exec Director, Eskom)")</f>
        <v>Mick Davis (Fmr CEO, Xstrata; Fmr CFO, Billiton; Fmr Exec Director, Eskom)</v>
      </c>
      <c r="G248" s="60">
        <f>IFERROR(__xludf.DUMMYFUNCTION("""COMPUTED_VALUE"""),3.0E8)</f>
        <v>300000000</v>
      </c>
      <c r="H248" s="60" t="str">
        <f>IFERROR(__xludf.DUMMYFUNCTION("""COMPUTED_VALUE""")," ")</f>
        <v> </v>
      </c>
      <c r="I248" s="61" t="str">
        <f>IFERROR(__xludf.DUMMYFUNCTION("""COMPUTED_VALUE""")," ")</f>
        <v> </v>
      </c>
      <c r="J248" s="62" t="str">
        <f>IFERROR(__xludf.DUMMYFUNCTION("""COMPUTED_VALUE""")," ")</f>
        <v> </v>
      </c>
      <c r="K248" s="59">
        <f>IFERROR(__xludf.DUMMYFUNCTION("""COMPUTED_VALUE"""),10.03)</f>
        <v>10.03</v>
      </c>
      <c r="L248" s="63" t="str">
        <f>IFERROR(__xludf.DUMMYFUNCTION("""COMPUTED_VALUE""")," ")</f>
        <v> </v>
      </c>
      <c r="M248" s="64" t="str">
        <f>IFERROR(__xludf.DUMMYFUNCTION("""COMPUTED_VALUE"""),"U: [1/3 W]; W: [1:1, $11.5]")</f>
        <v>U: [1/3 W]; W: [1:1, $11.5]</v>
      </c>
      <c r="N248" s="65">
        <f>IFERROR(__xludf.DUMMYFUNCTION("""COMPUTED_VALUE"""),44316.0)</f>
        <v>44316</v>
      </c>
      <c r="O248" s="66">
        <f>IFERROR(__xludf.DUMMYFUNCTION("""COMPUTED_VALUE"""),0.0)</f>
        <v>0</v>
      </c>
      <c r="P248" s="67">
        <f>IFERROR(__xludf.DUMMYFUNCTION("""COMPUTED_VALUE"""),44264.0)</f>
        <v>44264</v>
      </c>
      <c r="Q248" s="68">
        <f>IFERROR(__xludf.DUMMYFUNCTION("""COMPUTED_VALUE"""),300.0)</f>
        <v>300</v>
      </c>
      <c r="R248" s="69" t="str">
        <f>IFERROR(__xludf.DUMMYFUNCTION("""COMPUTED_VALUE"""),"Credit Suisse")</f>
        <v>Credit Suisse</v>
      </c>
      <c r="S248" s="64">
        <f>IFERROR(__xludf.DUMMYFUNCTION("""COMPUTED_VALUE"""),44994.0)</f>
        <v>44994</v>
      </c>
      <c r="T248" s="70">
        <f>IFERROR(__xludf.DUMMYFUNCTION("""COMPUTED_VALUE"""),0.043835616438356165)</f>
        <v>0.04383561644</v>
      </c>
      <c r="U248" s="71" t="str">
        <f>IFERROR(__xludf.DUMMYFUNCTION("""COMPUTED_VALUE"""),"https://www.sec.gov/cgi-bin/browse-edgar?CIK=1841420")</f>
        <v>https://www.sec.gov/cgi-bin/browse-edgar?CIK=1841420</v>
      </c>
      <c r="V248" s="72" t="str">
        <f>IFERROR(__xludf.DUMMYFUNCTION("""COMPUTED_VALUE"""),"Sustainability         Well-known Sponsor   ")</f>
        <v>Sustainability         Well-known Sponsor   </v>
      </c>
      <c r="W248" s="73"/>
      <c r="X248" s="74"/>
      <c r="Y248" s="75"/>
      <c r="Z248" s="60"/>
      <c r="AA248" s="60"/>
      <c r="AB248" s="60"/>
      <c r="AC248" s="60"/>
      <c r="AD248" s="73"/>
      <c r="AE248" s="73"/>
      <c r="AF248" s="76"/>
      <c r="AG248" s="60"/>
    </row>
    <row r="249">
      <c r="A249" s="54" t="str">
        <f>IFERROR(__xludf.DUMMYFUNCTION("""COMPUTED_VALUE"""),"ESSC")</f>
        <v>ESSC</v>
      </c>
      <c r="B249" s="55" t="str">
        <f>IFERROR(__xludf.DUMMYFUNCTION("""COMPUTED_VALUE"""),"East Stone Acquisition Corp")</f>
        <v>East Stone Acquisition Corp</v>
      </c>
      <c r="C249" s="56" t="str">
        <f>IFERROR(__xludf.DUMMYFUNCTION("""COMPUTED_VALUE"""),"Definitive Agreement")</f>
        <v>Definitive Agreement</v>
      </c>
      <c r="D249" s="77" t="str">
        <f>IFERROR(__xludf.DUMMYFUNCTION("""COMPUTED_VALUE"""),"Fintech")</f>
        <v>Fintech</v>
      </c>
      <c r="E249" s="58" t="str">
        <f>IFERROR(__xludf.DUMMYFUNCTION("""COMPUTED_VALUE"""),"JHD Holdings (TERMINATED: Ufin Tek Limited 2/15) [DA: 02/18/21]")</f>
        <v>JHD Holdings (TERMINATED: Ufin Tek Limited 2/15) [DA: 02/18/21]</v>
      </c>
      <c r="F249" s="59"/>
      <c r="G249" s="60">
        <f>IFERROR(__xludf.DUMMYFUNCTION("""COMPUTED_VALUE"""),1.38792381E8)</f>
        <v>138792381</v>
      </c>
      <c r="H249" s="60">
        <f>IFERROR(__xludf.DUMMYFUNCTION("""COMPUTED_VALUE"""),1.7738907E8)</f>
        <v>177389070</v>
      </c>
      <c r="I249" s="61">
        <f>IFERROR(__xludf.DUMMYFUNCTION("""COMPUTED_VALUE"""),10.02)</f>
        <v>10.02</v>
      </c>
      <c r="J249" s="62">
        <f>IFERROR(__xludf.DUMMYFUNCTION("""COMPUTED_VALUE"""),-0.001)</f>
        <v>-0.001</v>
      </c>
      <c r="K249" s="59" t="str">
        <f>IFERROR(__xludf.DUMMYFUNCTION("""COMPUTED_VALUE""")," ")</f>
        <v> </v>
      </c>
      <c r="L249" s="63">
        <f>IFERROR(__xludf.DUMMYFUNCTION("""COMPUTED_VALUE"""),0.28)</f>
        <v>0.28</v>
      </c>
      <c r="M249" s="64" t="str">
        <f>IFERROR(__xludf.DUMMYFUNCTION("""COMPUTED_VALUE"""),"U: [1 W, 1 R (1/10)]; W: [2:1, $11.5]")</f>
        <v>U: [1 W, 1 R (1/10)]; W: [2:1, $11.5]</v>
      </c>
      <c r="N249" s="65" t="str">
        <f>IFERROR(__xludf.DUMMYFUNCTION("""COMPUTED_VALUE"""),"")</f>
        <v/>
      </c>
      <c r="O249" s="66">
        <f>IFERROR(__xludf.DUMMYFUNCTION("""COMPUTED_VALUE"""),0.0)</f>
        <v>0</v>
      </c>
      <c r="P249" s="67">
        <f>IFERROR(__xludf.DUMMYFUNCTION("""COMPUTED_VALUE"""),43881.0)</f>
        <v>43881</v>
      </c>
      <c r="Q249" s="68">
        <f>IFERROR(__xludf.DUMMYFUNCTION("""COMPUTED_VALUE"""),138.0)</f>
        <v>138</v>
      </c>
      <c r="R249" s="69" t="str">
        <f>IFERROR(__xludf.DUMMYFUNCTION("""COMPUTED_VALUE"""),"I-Bankers, EarlyBirdCapital")</f>
        <v>I-Bankers, EarlyBirdCapital</v>
      </c>
      <c r="S249" s="64">
        <f>IFERROR(__xludf.DUMMYFUNCTION("""COMPUTED_VALUE"""),44519.75)</f>
        <v>44519.75</v>
      </c>
      <c r="T249" s="70">
        <f>IFERROR(__xludf.DUMMYFUNCTION("""COMPUTED_VALUE"""),0.649706457925636)</f>
        <v>0.6497064579</v>
      </c>
      <c r="U249" s="71" t="str">
        <f>IFERROR(__xludf.DUMMYFUNCTION("""COMPUTED_VALUE"""),"https://www.sec.gov/cgi-bin/browse-edgar?CIK=1760683")</f>
        <v>https://www.sec.gov/cgi-bin/browse-edgar?CIK=1760683</v>
      </c>
      <c r="V249" s="72" t="str">
        <f>IFERROR(__xludf.DUMMYFUNCTION("""COMPUTED_VALUE"""),"     Optionable  Has Rights     ")</f>
        <v>     Optionable  Has Rights     </v>
      </c>
      <c r="W249" s="73">
        <f>IFERROR(__xludf.DUMMYFUNCTION("""COMPUTED_VALUE"""),44245.0)</f>
        <v>44245</v>
      </c>
      <c r="X249" s="79">
        <f>IFERROR(__xludf.DUMMYFUNCTION("""COMPUTED_VALUE"""),12.133333333333333)</f>
        <v>12.13333333</v>
      </c>
      <c r="Y249" s="80" t="str">
        <f>IFERROR(__xludf.DUMMYFUNCTION("""COMPUTED_VALUE"""),"https://www.globenewswire.com/news-release/2021/02/18/2178086/0/en/East-Stone-Acquisition-Corporation-Announces-Business-Combination-with-JHD-Holdings-Cayman-Limited-an-Innovative-Merchant-Enablement-Platform-in-Lower-Tier-Cities-in-China.html")</f>
        <v>https://www.globenewswire.com/news-release/2021/02/18/2178086/0/en/East-Stone-Acquisition-Corporation-Announces-Business-Combination-with-JHD-Holdings-Cayman-Limited-an-Innovative-Merchant-Enablement-Platform-in-Lower-Tier-Cities-in-China.html</v>
      </c>
      <c r="Z249" s="81" t="str">
        <f>IFERROR(__xludf.DUMMYFUNCTION("""COMPUTED_VALUE"""),"https://www.sec.gov/Archives/edgar/data/1760683/000121390021010227/ea135945ex99-2_eaststone.htm")</f>
        <v>https://www.sec.gov/Archives/edgar/data/1760683/000121390021010227/ea135945ex99-2_eaststone.htm</v>
      </c>
      <c r="AA249" s="60"/>
      <c r="AB249" s="60">
        <f>IFERROR(__xludf.DUMMYFUNCTION("""COMPUTED_VALUE"""),1.0E9)</f>
        <v>1000000000</v>
      </c>
      <c r="AC249" s="60"/>
      <c r="AD249" s="73"/>
      <c r="AE249" s="73"/>
      <c r="AF249" s="76">
        <f>IFERROR(__xludf.DUMMYFUNCTION("""COMPUTED_VALUE"""),1.0E8)</f>
        <v>100000000</v>
      </c>
      <c r="AG249" s="60">
        <f>IFERROR(__xludf.DUMMYFUNCTION("""COMPUTED_VALUE"""),1.002E9)</f>
        <v>1002000000</v>
      </c>
    </row>
    <row r="250">
      <c r="A250" s="54" t="str">
        <f>IFERROR(__xludf.DUMMYFUNCTION("""COMPUTED_VALUE"""),"ETA")</f>
        <v>ETA</v>
      </c>
      <c r="B250" s="55" t="str">
        <f>IFERROR(__xludf.DUMMYFUNCTION("""COMPUTED_VALUE"""),"Integrated Energy Transition Acquisition Corp.")</f>
        <v>Integrated Energy Transition Acquisition Corp.</v>
      </c>
      <c r="C250" s="56" t="str">
        <f>IFERROR(__xludf.DUMMYFUNCTION("""COMPUTED_VALUE"""),"Pre IPO")</f>
        <v>Pre IPO</v>
      </c>
      <c r="D250" s="77" t="str">
        <f>IFERROR(__xludf.DUMMYFUNCTION("""COMPUTED_VALUE"""),"Natural Gas infrastructure and marketing")</f>
        <v>Natural Gas infrastructure and marketing</v>
      </c>
      <c r="E250" s="58"/>
      <c r="F250" s="59"/>
      <c r="G250" s="60">
        <f>IFERROR(__xludf.DUMMYFUNCTION("""COMPUTED_VALUE"""),1.5E8)</f>
        <v>150000000</v>
      </c>
      <c r="H250" s="60" t="str">
        <f>IFERROR(__xludf.DUMMYFUNCTION("""COMPUTED_VALUE""")," ")</f>
        <v> </v>
      </c>
      <c r="I250" s="61" t="str">
        <f>IFERROR(__xludf.DUMMYFUNCTION("""COMPUTED_VALUE""")," ")</f>
        <v> </v>
      </c>
      <c r="J250" s="62" t="str">
        <f>IFERROR(__xludf.DUMMYFUNCTION("""COMPUTED_VALUE""")," ")</f>
        <v> </v>
      </c>
      <c r="K250" s="59" t="str">
        <f>IFERROR(__xludf.DUMMYFUNCTION("""COMPUTED_VALUE""")," ")</f>
        <v> </v>
      </c>
      <c r="L250" s="63" t="str">
        <f>IFERROR(__xludf.DUMMYFUNCTION("""COMPUTED_VALUE""")," ")</f>
        <v> </v>
      </c>
      <c r="M250" s="64" t="str">
        <f>IFERROR(__xludf.DUMMYFUNCTION("""COMPUTED_VALUE"""),"U: [1/2 W]; W: [1:1, $11.5]")</f>
        <v>U: [1/2 W]; W: [1:1, $11.5]</v>
      </c>
      <c r="N250" s="65" t="str">
        <f>IFERROR(__xludf.DUMMYFUNCTION("""COMPUTED_VALUE"""),"")</f>
        <v/>
      </c>
      <c r="O250" s="66">
        <f>IFERROR(__xludf.DUMMYFUNCTION("""COMPUTED_VALUE"""),0.0)</f>
        <v>0</v>
      </c>
      <c r="P250" s="67"/>
      <c r="Q250" s="68">
        <f>IFERROR(__xludf.DUMMYFUNCTION("""COMPUTED_VALUE"""),150.0)</f>
        <v>150</v>
      </c>
      <c r="R250" s="69" t="str">
        <f>IFERROR(__xludf.DUMMYFUNCTION("""COMPUTED_VALUE"""),"Stifel")</f>
        <v>Stifel</v>
      </c>
      <c r="S250" s="64">
        <f>IFERROR(__xludf.DUMMYFUNCTION("""COMPUTED_VALUE"""),45086.0)</f>
        <v>45086</v>
      </c>
      <c r="T250" s="70" t="str">
        <f>IFERROR(__xludf.DUMMYFUNCTION("""COMPUTED_VALUE"""),"")</f>
        <v/>
      </c>
      <c r="U250" s="71" t="str">
        <f>IFERROR(__xludf.DUMMYFUNCTION("""COMPUTED_VALUE"""),"https://www.sec.gov/cgi-bin/browse-edgar?CIK=1829237")</f>
        <v>https://www.sec.gov/cgi-bin/browse-edgar?CIK=1829237</v>
      </c>
      <c r="V250" s="72" t="str">
        <f>IFERROR(__xludf.DUMMYFUNCTION("""COMPUTED_VALUE"""),"            ")</f>
        <v>            </v>
      </c>
      <c r="W250" s="73"/>
      <c r="X250" s="74"/>
      <c r="Y250" s="75"/>
      <c r="Z250" s="60"/>
      <c r="AA250" s="60"/>
      <c r="AB250" s="60"/>
      <c r="AC250" s="60"/>
      <c r="AD250" s="73"/>
      <c r="AE250" s="73"/>
      <c r="AF250" s="76"/>
      <c r="AG250" s="60"/>
    </row>
    <row r="251">
      <c r="A251" s="54" t="str">
        <f>IFERROR(__xludf.DUMMYFUNCTION("""COMPUTED_VALUE"""),"ETAC")</f>
        <v>ETAC</v>
      </c>
      <c r="B251" s="55" t="str">
        <f>IFERROR(__xludf.DUMMYFUNCTION("""COMPUTED_VALUE"""),"E.Merge Technology Acquisition Corp")</f>
        <v>E.Merge Technology Acquisition Corp</v>
      </c>
      <c r="C251" s="56" t="str">
        <f>IFERROR(__xludf.DUMMYFUNCTION("""COMPUTED_VALUE"""),"Searching")</f>
        <v>Searching</v>
      </c>
      <c r="D251" s="77" t="str">
        <f>IFERROR(__xludf.DUMMYFUNCTION("""COMPUTED_VALUE"""),"Tech, Software, Internet")</f>
        <v>Tech, Software, Internet</v>
      </c>
      <c r="E251" s="58"/>
      <c r="F251" s="59" t="str">
        <f>IFERROR(__xludf.DUMMYFUNCTION("""COMPUTED_VALUE"""),"Jeff Clarke (former CEO of Eastman Kodak), Steve Singh (Managing Director of Madrona Venture Group)")</f>
        <v>Jeff Clarke (former CEO of Eastman Kodak), Steve Singh (Managing Director of Madrona Venture Group)</v>
      </c>
      <c r="G251" s="60">
        <f>IFERROR(__xludf.DUMMYFUNCTION("""COMPUTED_VALUE"""),6.00042647E8)</f>
        <v>600042647</v>
      </c>
      <c r="H251" s="60">
        <f>IFERROR(__xludf.DUMMYFUNCTION("""COMPUTED_VALUE"""),6.04044E8)</f>
        <v>604044000</v>
      </c>
      <c r="I251" s="61">
        <f>IFERROR(__xludf.DUMMYFUNCTION("""COMPUTED_VALUE"""),9.87)</f>
        <v>9.87</v>
      </c>
      <c r="J251" s="62">
        <f>IFERROR(__xludf.DUMMYFUNCTION("""COMPUTED_VALUE"""),-0.00303)</f>
        <v>-0.00303</v>
      </c>
      <c r="K251" s="59">
        <f>IFERROR(__xludf.DUMMYFUNCTION("""COMPUTED_VALUE"""),10.2)</f>
        <v>10.2</v>
      </c>
      <c r="L251" s="63">
        <f>IFERROR(__xludf.DUMMYFUNCTION("""COMPUTED_VALUE"""),1.05)</f>
        <v>1.05</v>
      </c>
      <c r="M251" s="64" t="str">
        <f>IFERROR(__xludf.DUMMYFUNCTION("""COMPUTED_VALUE"""),"U: [1/3 W]; W: [1:1, $11.5]")</f>
        <v>U: [1/3 W]; W: [1:1, $11.5]</v>
      </c>
      <c r="N251" s="65" t="str">
        <f>IFERROR(__xludf.DUMMYFUNCTION("""COMPUTED_VALUE"""),"")</f>
        <v/>
      </c>
      <c r="O251" s="66">
        <f>IFERROR(__xludf.DUMMYFUNCTION("""COMPUTED_VALUE"""),0.0)</f>
        <v>0</v>
      </c>
      <c r="P251" s="67">
        <f>IFERROR(__xludf.DUMMYFUNCTION("""COMPUTED_VALUE"""),44043.0)</f>
        <v>44043</v>
      </c>
      <c r="Q251" s="68">
        <f>IFERROR(__xludf.DUMMYFUNCTION("""COMPUTED_VALUE"""),600.0)</f>
        <v>600</v>
      </c>
      <c r="R251" s="69" t="str">
        <f>IFERROR(__xludf.DUMMYFUNCTION("""COMPUTED_VALUE"""),"Cantor, Mizuho")</f>
        <v>Cantor, Mizuho</v>
      </c>
      <c r="S251" s="64">
        <f>IFERROR(__xludf.DUMMYFUNCTION("""COMPUTED_VALUE"""),44773.0)</f>
        <v>44773</v>
      </c>
      <c r="T251" s="70">
        <f>IFERROR(__xludf.DUMMYFUNCTION("""COMPUTED_VALUE"""),0.34657534246575344)</f>
        <v>0.3465753425</v>
      </c>
      <c r="U251" s="71" t="str">
        <f>IFERROR(__xludf.DUMMYFUNCTION("""COMPUTED_VALUE"""),"https://www.sec.gov/cgi-bin/browse-edgar?CIK=1814728")</f>
        <v>https://www.sec.gov/cgi-bin/browse-edgar?CIK=1814728</v>
      </c>
      <c r="V251" s="72" t="str">
        <f>IFERROR(__xludf.DUMMYFUNCTION("""COMPUTED_VALUE""")," Trading Below $10 (Common)  $500M+ Trust     Well-known Sponsor   ")</f>
        <v> Trading Below $10 (Common)  $500M+ Trust     Well-known Sponsor   </v>
      </c>
      <c r="W251" s="73"/>
      <c r="X251" s="74"/>
      <c r="Y251" s="75"/>
      <c r="Z251" s="60"/>
      <c r="AA251" s="60"/>
      <c r="AB251" s="60"/>
      <c r="AC251" s="60"/>
      <c r="AD251" s="73"/>
      <c r="AE251" s="73"/>
      <c r="AF251" s="76"/>
      <c r="AG251" s="60" t="str">
        <f>IFERROR(__xludf.DUMMYFUNCTION("""COMPUTED_VALUE"""),"")</f>
        <v/>
      </c>
    </row>
    <row r="252">
      <c r="A252" s="54" t="str">
        <f>IFERROR(__xludf.DUMMYFUNCTION("""COMPUTED_VALUE"""),"EUCR")</f>
        <v>EUCR</v>
      </c>
      <c r="B252" s="55" t="str">
        <f>IFERROR(__xludf.DUMMYFUNCTION("""COMPUTED_VALUE"""),"Eucrates Biomedical Acquisition Corp.")</f>
        <v>Eucrates Biomedical Acquisition Corp.</v>
      </c>
      <c r="C252" s="56" t="str">
        <f>IFERROR(__xludf.DUMMYFUNCTION("""COMPUTED_VALUE"""),"Searching")</f>
        <v>Searching</v>
      </c>
      <c r="D252" s="77" t="str">
        <f>IFERROR(__xludf.DUMMYFUNCTION("""COMPUTED_VALUE"""),"Healthcare, Biomedical")</f>
        <v>Healthcare, Biomedical</v>
      </c>
      <c r="E252" s="58"/>
      <c r="F252" s="59" t="str">
        <f>IFERROR(__xludf.DUMMYFUNCTION("""COMPUTED_VALUE"""),"Stelios Papadopoulos (Chairman, Biogen; Co-founder/Chairman Exelixis)")</f>
        <v>Stelios Papadopoulos (Chairman, Biogen; Co-founder/Chairman Exelixis)</v>
      </c>
      <c r="G252" s="60">
        <f>IFERROR(__xludf.DUMMYFUNCTION("""COMPUTED_VALUE"""),1.0479626E8)</f>
        <v>104796260</v>
      </c>
      <c r="H252" s="60">
        <f>IFERROR(__xludf.DUMMYFUNCTION("""COMPUTED_VALUE"""),1.3243778E8)</f>
        <v>132437780</v>
      </c>
      <c r="I252" s="61">
        <f>IFERROR(__xludf.DUMMYFUNCTION("""COMPUTED_VALUE"""),9.84)</f>
        <v>9.84</v>
      </c>
      <c r="J252" s="62">
        <f>IFERROR(__xludf.DUMMYFUNCTION("""COMPUTED_VALUE"""),0.00511)</f>
        <v>0.00511</v>
      </c>
      <c r="K252" s="59">
        <f>IFERROR(__xludf.DUMMYFUNCTION("""COMPUTED_VALUE"""),10.0)</f>
        <v>10</v>
      </c>
      <c r="L252" s="63">
        <f>IFERROR(__xludf.DUMMYFUNCTION("""COMPUTED_VALUE"""),0.8975)</f>
        <v>0.8975</v>
      </c>
      <c r="M252" s="64" t="str">
        <f>IFERROR(__xludf.DUMMYFUNCTION("""COMPUTED_VALUE"""),"U: [1/3 W]; W: [1:1, $11.5]")</f>
        <v>U: [1/3 W]; W: [1:1, $11.5]</v>
      </c>
      <c r="N252" s="65" t="str">
        <f>IFERROR(__xludf.DUMMYFUNCTION("""COMPUTED_VALUE"""),"")</f>
        <v/>
      </c>
      <c r="O252" s="66">
        <f>IFERROR(__xludf.DUMMYFUNCTION("""COMPUTED_VALUE"""),0.0)</f>
        <v>0</v>
      </c>
      <c r="P252" s="67">
        <f>IFERROR(__xludf.DUMMYFUNCTION("""COMPUTED_VALUE"""),44127.0)</f>
        <v>44127</v>
      </c>
      <c r="Q252" s="68">
        <f>IFERROR(__xludf.DUMMYFUNCTION("""COMPUTED_VALUE"""),104.79626)</f>
        <v>104.79626</v>
      </c>
      <c r="R252" s="85" t="str">
        <f>IFERROR(__xludf.DUMMYFUNCTION("""COMPUTED_VALUE"""),"Stifel, H.C. Wainwright &amp; Co.
")</f>
        <v>Stifel, H.C. Wainwright &amp; Co.
</v>
      </c>
      <c r="S252" s="64">
        <f>IFERROR(__xludf.DUMMYFUNCTION("""COMPUTED_VALUE"""),44857.0)</f>
        <v>44857</v>
      </c>
      <c r="T252" s="70">
        <f>IFERROR(__xludf.DUMMYFUNCTION("""COMPUTED_VALUE"""),0.23150684931506849)</f>
        <v>0.2315068493</v>
      </c>
      <c r="U252" s="71" t="str">
        <f>IFERROR(__xludf.DUMMYFUNCTION("""COMPUTED_VALUE"""),"https://www.sec.gov/cgi-bin/browse-edgar?CIK=1822929")</f>
        <v>https://www.sec.gov/cgi-bin/browse-edgar?CIK=1822929</v>
      </c>
      <c r="V252" s="72" t="str">
        <f>IFERROR(__xludf.DUMMYFUNCTION("""COMPUTED_VALUE""")," Trading Below $10 (Common)           ")</f>
        <v> Trading Below $10 (Common)           </v>
      </c>
      <c r="W252" s="73"/>
      <c r="X252" s="74"/>
      <c r="Y252" s="75"/>
      <c r="Z252" s="60"/>
      <c r="AA252" s="60"/>
      <c r="AB252" s="60"/>
      <c r="AC252" s="60"/>
      <c r="AD252" s="73"/>
      <c r="AE252" s="73"/>
      <c r="AF252" s="76"/>
      <c r="AG252" s="60" t="str">
        <f>IFERROR(__xludf.DUMMYFUNCTION("""COMPUTED_VALUE"""),"")</f>
        <v/>
      </c>
    </row>
    <row r="253">
      <c r="A253" s="54" t="str">
        <f>IFERROR(__xludf.DUMMYFUNCTION("""COMPUTED_VALUE"""),"EUSG")</f>
        <v>EUSG</v>
      </c>
      <c r="B253" s="55" t="str">
        <f>IFERROR(__xludf.DUMMYFUNCTION("""COMPUTED_VALUE"""),"European Sustainable Growth Acquisition Corp.")</f>
        <v>European Sustainable Growth Acquisition Corp.</v>
      </c>
      <c r="C253" s="56" t="str">
        <f>IFERROR(__xludf.DUMMYFUNCTION("""COMPUTED_VALUE"""),"Searching")</f>
        <v>Searching</v>
      </c>
      <c r="D253" s="77" t="str">
        <f>IFERROR(__xludf.DUMMYFUNCTION("""COMPUTED_VALUE"""),"Europe, Sustainability, Fintech, Edtech")</f>
        <v>Europe, Sustainability, Fintech, Edtech</v>
      </c>
      <c r="E253" s="58"/>
      <c r="F253" s="59" t="str">
        <f>IFERROR(__xludf.DUMMYFUNCTION("""COMPUTED_VALUE"""),"Lars Thunell (Fmr CEO, IFC)")</f>
        <v>Lars Thunell (Fmr CEO, IFC)</v>
      </c>
      <c r="G253" s="60">
        <f>IFERROR(__xludf.DUMMYFUNCTION("""COMPUTED_VALUE"""),1.43751121E8)</f>
        <v>143751121</v>
      </c>
      <c r="H253" s="60">
        <f>IFERROR(__xludf.DUMMYFUNCTION("""COMPUTED_VALUE"""),1.440613E8)</f>
        <v>144061300</v>
      </c>
      <c r="I253" s="61">
        <f>IFERROR(__xludf.DUMMYFUNCTION("""COMPUTED_VALUE"""),9.98)</f>
        <v>9.98</v>
      </c>
      <c r="J253" s="62">
        <f>IFERROR(__xludf.DUMMYFUNCTION("""COMPUTED_VALUE"""),0.01941)</f>
        <v>0.01941</v>
      </c>
      <c r="K253" s="59">
        <f>IFERROR(__xludf.DUMMYFUNCTION("""COMPUTED_VALUE"""),10.15)</f>
        <v>10.15</v>
      </c>
      <c r="L253" s="63">
        <f>IFERROR(__xludf.DUMMYFUNCTION("""COMPUTED_VALUE"""),0.82)</f>
        <v>0.82</v>
      </c>
      <c r="M253" s="64" t="str">
        <f>IFERROR(__xludf.DUMMYFUNCTION("""COMPUTED_VALUE"""),"U: [1/2 W]; W: [1:1, $11.5]")</f>
        <v>U: [1/2 W]; W: [1:1, $11.5]</v>
      </c>
      <c r="N253" s="65" t="str">
        <f>IFERROR(__xludf.DUMMYFUNCTION("""COMPUTED_VALUE"""),"")</f>
        <v/>
      </c>
      <c r="O253" s="66">
        <f>IFERROR(__xludf.DUMMYFUNCTION("""COMPUTED_VALUE"""),0.0)</f>
        <v>0</v>
      </c>
      <c r="P253" s="67">
        <f>IFERROR(__xludf.DUMMYFUNCTION("""COMPUTED_VALUE"""),44217.0)</f>
        <v>44217</v>
      </c>
      <c r="Q253" s="68">
        <f>IFERROR(__xludf.DUMMYFUNCTION("""COMPUTED_VALUE"""),143.75)</f>
        <v>143.75</v>
      </c>
      <c r="R253" s="69" t="str">
        <f>IFERROR(__xludf.DUMMYFUNCTION("""COMPUTED_VALUE"""),"EarlyBirdCapital, ABN AMRO")</f>
        <v>EarlyBirdCapital, ABN AMRO</v>
      </c>
      <c r="S253" s="64">
        <f>IFERROR(__xludf.DUMMYFUNCTION("""COMPUTED_VALUE"""),44947.0)</f>
        <v>44947</v>
      </c>
      <c r="T253" s="70">
        <f>IFERROR(__xludf.DUMMYFUNCTION("""COMPUTED_VALUE"""),0.10821917808219178)</f>
        <v>0.1082191781</v>
      </c>
      <c r="U253" s="71" t="str">
        <f>IFERROR(__xludf.DUMMYFUNCTION("""COMPUTED_VALUE"""),"https://www.sec.gov/cgi-bin/browse-edgar?CIK=1832505")</f>
        <v>https://www.sec.gov/cgi-bin/browse-edgar?CIK=1832505</v>
      </c>
      <c r="V253" s="72" t="str">
        <f>IFERROR(__xludf.DUMMYFUNCTION("""COMPUTED_VALUE""")," Trading Below $10 (Common)        Well-known Sponsor   ")</f>
        <v> Trading Below $10 (Common)        Well-known Sponsor   </v>
      </c>
      <c r="W253" s="73"/>
      <c r="X253" s="74"/>
      <c r="Y253" s="75"/>
      <c r="Z253" s="60"/>
      <c r="AA253" s="60"/>
      <c r="AB253" s="60"/>
      <c r="AC253" s="60"/>
      <c r="AD253" s="73"/>
      <c r="AE253" s="73"/>
      <c r="AF253" s="76"/>
      <c r="AG253" s="60" t="str">
        <f>IFERROR(__xludf.DUMMYFUNCTION("""COMPUTED_VALUE"""),"")</f>
        <v/>
      </c>
    </row>
    <row r="254">
      <c r="A254" s="54" t="str">
        <f>IFERROR(__xludf.DUMMYFUNCTION("""COMPUTED_VALUE"""),"EVOJ")</f>
        <v>EVOJ</v>
      </c>
      <c r="B254" s="55" t="str">
        <f>IFERROR(__xludf.DUMMYFUNCTION("""COMPUTED_VALUE"""),"Evo Acquisition Corp.")</f>
        <v>Evo Acquisition Corp.</v>
      </c>
      <c r="C254" s="56" t="str">
        <f>IFERROR(__xludf.DUMMYFUNCTION("""COMPUTED_VALUE"""),"Searching")</f>
        <v>Searching</v>
      </c>
      <c r="D254" s="77" t="str">
        <f>IFERROR(__xludf.DUMMYFUNCTION("""COMPUTED_VALUE"""),"Tech, Financial")</f>
        <v>Tech, Financial</v>
      </c>
      <c r="E254" s="58"/>
      <c r="F254" s="59"/>
      <c r="G254" s="60">
        <f>IFERROR(__xludf.DUMMYFUNCTION("""COMPUTED_VALUE"""),1.25005E8)</f>
        <v>125005000</v>
      </c>
      <c r="H254" s="60">
        <f>IFERROR(__xludf.DUMMYFUNCTION("""COMPUTED_VALUE"""),1.225E8)</f>
        <v>122500000</v>
      </c>
      <c r="I254" s="61">
        <f>IFERROR(__xludf.DUMMYFUNCTION("""COMPUTED_VALUE"""),9.8)</f>
        <v>9.8</v>
      </c>
      <c r="J254" s="62"/>
      <c r="K254" s="59">
        <f>IFERROR(__xludf.DUMMYFUNCTION("""COMPUTED_VALUE"""),10.0)</f>
        <v>10</v>
      </c>
      <c r="L254" s="63">
        <f>IFERROR(__xludf.DUMMYFUNCTION("""COMPUTED_VALUE"""),0.64)</f>
        <v>0.64</v>
      </c>
      <c r="M254" s="64" t="str">
        <f>IFERROR(__xludf.DUMMYFUNCTION("""COMPUTED_VALUE"""),"U: [1/2 W]; W: [1:1, $11.5]")</f>
        <v>U: [1/2 W]; W: [1:1, $11.5]</v>
      </c>
      <c r="N254" s="65" t="str">
        <f>IFERROR(__xludf.DUMMYFUNCTION("""COMPUTED_VALUE"""),"")</f>
        <v/>
      </c>
      <c r="O254" s="66">
        <f>IFERROR(__xludf.DUMMYFUNCTION("""COMPUTED_VALUE"""),0.0)</f>
        <v>0</v>
      </c>
      <c r="P254" s="67">
        <f>IFERROR(__xludf.DUMMYFUNCTION("""COMPUTED_VALUE"""),44235.0)</f>
        <v>44235</v>
      </c>
      <c r="Q254" s="68">
        <f>IFERROR(__xludf.DUMMYFUNCTION("""COMPUTED_VALUE"""),125.005)</f>
        <v>125.005</v>
      </c>
      <c r="R254" s="85" t="str">
        <f>IFERROR(__xludf.DUMMYFUNCTION("""COMPUTED_VALUE"""),"B. Riley, SMBC Nikko")</f>
        <v>B. Riley, SMBC Nikko</v>
      </c>
      <c r="S254" s="64">
        <f>IFERROR(__xludf.DUMMYFUNCTION("""COMPUTED_VALUE"""),44965.0)</f>
        <v>44965</v>
      </c>
      <c r="T254" s="70">
        <f>IFERROR(__xludf.DUMMYFUNCTION("""COMPUTED_VALUE"""),0.08356164383561644)</f>
        <v>0.08356164384</v>
      </c>
      <c r="U254" s="71" t="str">
        <f>IFERROR(__xludf.DUMMYFUNCTION("""COMPUTED_VALUE"""),"https://www.sec.gov/cgi-bin/browse-edgar?CIK=1834342")</f>
        <v>https://www.sec.gov/cgi-bin/browse-edgar?CIK=1834342</v>
      </c>
      <c r="V254" s="72" t="str">
        <f>IFERROR(__xludf.DUMMYFUNCTION("""COMPUTED_VALUE""")," Trading Below $10 (Common)           ")</f>
        <v> Trading Below $10 (Common)           </v>
      </c>
      <c r="W254" s="73"/>
      <c r="X254" s="74"/>
      <c r="Y254" s="75"/>
      <c r="Z254" s="60"/>
      <c r="AA254" s="60"/>
      <c r="AB254" s="60"/>
      <c r="AC254" s="60"/>
      <c r="AD254" s="73"/>
      <c r="AE254" s="73"/>
      <c r="AF254" s="76"/>
      <c r="AG254" s="60" t="str">
        <f>IFERROR(__xludf.DUMMYFUNCTION("""COMPUTED_VALUE"""),"")</f>
        <v/>
      </c>
    </row>
    <row r="255">
      <c r="A255" s="54" t="str">
        <f>IFERROR(__xludf.DUMMYFUNCTION("""COMPUTED_VALUE"""),"EXAC")</f>
        <v>EXAC</v>
      </c>
      <c r="B255" s="55" t="str">
        <f>IFERROR(__xludf.DUMMYFUNCTION("""COMPUTED_VALUE"""),"Excolere Acquisition Corp.")</f>
        <v>Excolere Acquisition Corp.</v>
      </c>
      <c r="C255" s="56" t="str">
        <f>IFERROR(__xludf.DUMMYFUNCTION("""COMPUTED_VALUE"""),"Pre IPO")</f>
        <v>Pre IPO</v>
      </c>
      <c r="D255" s="77" t="str">
        <f>IFERROR(__xludf.DUMMYFUNCTION("""COMPUTED_VALUE"""),"EdTech, Human Capital Tech")</f>
        <v>EdTech, Human Capital Tech</v>
      </c>
      <c r="E255" s="58"/>
      <c r="F255" s="59" t="str">
        <f>IFERROR(__xludf.DUMMYFUNCTION("""COMPUTED_VALUE"""),"Tony Miller (Co-founder/MP, Excolere Equity Partners; Fmr Deputy Secretary of U.S. Department of Education under Pres Obama), William Ethridge (Fmr CEO of Pearson North America)")</f>
        <v>Tony Miller (Co-founder/MP, Excolere Equity Partners; Fmr Deputy Secretary of U.S. Department of Education under Pres Obama), William Ethridge (Fmr CEO of Pearson North America)</v>
      </c>
      <c r="G255" s="60">
        <f>IFERROR(__xludf.DUMMYFUNCTION("""COMPUTED_VALUE"""),2.0E8)</f>
        <v>200000000</v>
      </c>
      <c r="H255" s="60" t="str">
        <f>IFERROR(__xludf.DUMMYFUNCTION("""COMPUTED_VALUE""")," ")</f>
        <v> </v>
      </c>
      <c r="I255" s="61" t="str">
        <f>IFERROR(__xludf.DUMMYFUNCTION("""COMPUTED_VALUE""")," ")</f>
        <v> </v>
      </c>
      <c r="J255" s="62" t="str">
        <f>IFERROR(__xludf.DUMMYFUNCTION("""COMPUTED_VALUE""")," ")</f>
        <v> </v>
      </c>
      <c r="K255" s="59" t="str">
        <f>IFERROR(__xludf.DUMMYFUNCTION("""COMPUTED_VALUE""")," ")</f>
        <v> </v>
      </c>
      <c r="L255" s="63" t="str">
        <f>IFERROR(__xludf.DUMMYFUNCTION("""COMPUTED_VALUE""")," ")</f>
        <v> </v>
      </c>
      <c r="M255" s="64" t="str">
        <f>IFERROR(__xludf.DUMMYFUNCTION("""COMPUTED_VALUE"""),"U: [1/2 W]; W: [1:1, $11.5]")</f>
        <v>U: [1/2 W]; W: [1:1, $11.5]</v>
      </c>
      <c r="N255" s="65" t="str">
        <f>IFERROR(__xludf.DUMMYFUNCTION("""COMPUTED_VALUE"""),"")</f>
        <v/>
      </c>
      <c r="O255" s="66" t="str">
        <f>IFERROR(__xludf.DUMMYFUNCTION("""COMPUTED_VALUE"""),"")</f>
        <v/>
      </c>
      <c r="P255" s="67"/>
      <c r="Q255" s="68">
        <f>IFERROR(__xludf.DUMMYFUNCTION("""COMPUTED_VALUE"""),200.0)</f>
        <v>200</v>
      </c>
      <c r="R255" s="69" t="str">
        <f>IFERROR(__xludf.DUMMYFUNCTION("""COMPUTED_VALUE"""),"UBS Investment Bank")</f>
        <v>UBS Investment Bank</v>
      </c>
      <c r="S255" s="64">
        <f>IFERROR(__xludf.DUMMYFUNCTION("""COMPUTED_VALUE"""),45086.0)</f>
        <v>45086</v>
      </c>
      <c r="T255" s="70" t="str">
        <f>IFERROR(__xludf.DUMMYFUNCTION("""COMPUTED_VALUE"""),"")</f>
        <v/>
      </c>
      <c r="U255" s="71" t="str">
        <f>IFERROR(__xludf.DUMMYFUNCTION("""COMPUTED_VALUE"""),"https://www.sec.gov/cgi-bin/browse-edgar?CIK=1844019")</f>
        <v>https://www.sec.gov/cgi-bin/browse-edgar?CIK=1844019</v>
      </c>
      <c r="V255" s="72" t="str">
        <f>IFERROR(__xludf.DUMMYFUNCTION("""COMPUTED_VALUE"""),"            ")</f>
        <v>            </v>
      </c>
      <c r="W255" s="73"/>
      <c r="X255" s="74"/>
      <c r="Y255" s="75"/>
      <c r="Z255" s="60"/>
      <c r="AA255" s="60"/>
      <c r="AB255" s="60"/>
      <c r="AC255" s="60"/>
      <c r="AD255" s="73"/>
      <c r="AE255" s="73"/>
      <c r="AF255" s="76"/>
      <c r="AG255" s="60"/>
    </row>
    <row r="256">
      <c r="A256" s="54" t="str">
        <f>IFERROR(__xludf.DUMMYFUNCTION("""COMPUTED_VALUE"""),"EXPC")</f>
        <v>EXPC</v>
      </c>
      <c r="B256" s="55" t="str">
        <f>IFERROR(__xludf.DUMMYFUNCTION("""COMPUTED_VALUE"""),"Experience Investment Corp")</f>
        <v>Experience Investment Corp</v>
      </c>
      <c r="C256" s="56" t="str">
        <f>IFERROR(__xludf.DUMMYFUNCTION("""COMPUTED_VALUE"""),"Definitive Agreement")</f>
        <v>Definitive Agreement</v>
      </c>
      <c r="D256" s="57" t="str">
        <f>IFERROR(__xludf.DUMMYFUNCTION("""COMPUTED_VALUE"""),"Travel and Leisure")</f>
        <v>Travel and Leisure</v>
      </c>
      <c r="E256" s="58" t="str">
        <f>IFERROR(__xludf.DUMMYFUNCTION("""COMPUTED_VALUE"""),"Blade [DA: 12/15/20]")</f>
        <v>Blade [DA: 12/15/20]</v>
      </c>
      <c r="F256" s="59"/>
      <c r="G256" s="60">
        <f>IFERROR(__xludf.DUMMYFUNCTION("""COMPUTED_VALUE"""),2.76943339E8)</f>
        <v>276943339</v>
      </c>
      <c r="H256" s="60">
        <f>IFERROR(__xludf.DUMMYFUNCTION("""COMPUTED_VALUE"""),2.86E8)</f>
        <v>286000000</v>
      </c>
      <c r="I256" s="61">
        <f>IFERROR(__xludf.DUMMYFUNCTION("""COMPUTED_VALUE"""),10.4)</f>
        <v>10.4</v>
      </c>
      <c r="J256" s="62">
        <f>IFERROR(__xludf.DUMMYFUNCTION("""COMPUTED_VALUE"""),-0.00383)</f>
        <v>-0.00383</v>
      </c>
      <c r="K256" s="59">
        <f>IFERROR(__xludf.DUMMYFUNCTION("""COMPUTED_VALUE"""),11.06)</f>
        <v>11.06</v>
      </c>
      <c r="L256" s="63">
        <f>IFERROR(__xludf.DUMMYFUNCTION("""COMPUTED_VALUE"""),2.43)</f>
        <v>2.43</v>
      </c>
      <c r="M256" s="64" t="str">
        <f>IFERROR(__xludf.DUMMYFUNCTION("""COMPUTED_VALUE"""),"U: [1/3 W]; W: [1:1, $11.5]")</f>
        <v>U: [1/3 W]; W: [1:1, $11.5]</v>
      </c>
      <c r="N256" s="65" t="str">
        <f>IFERROR(__xludf.DUMMYFUNCTION("""COMPUTED_VALUE"""),"")</f>
        <v/>
      </c>
      <c r="O256" s="66">
        <f>IFERROR(__xludf.DUMMYFUNCTION("""COMPUTED_VALUE"""),0.0)</f>
        <v>0</v>
      </c>
      <c r="P256" s="67">
        <f>IFERROR(__xludf.DUMMYFUNCTION("""COMPUTED_VALUE"""),43721.0)</f>
        <v>43721</v>
      </c>
      <c r="Q256" s="68">
        <f>IFERROR(__xludf.DUMMYFUNCTION("""COMPUTED_VALUE"""),275.0)</f>
        <v>275</v>
      </c>
      <c r="R256" s="85" t="str">
        <f>IFERROR(__xludf.DUMMYFUNCTION("""COMPUTED_VALUE"""),"Deutsche Bank, Citigroup")</f>
        <v>Deutsche Bank, Citigroup</v>
      </c>
      <c r="S256" s="64">
        <f>IFERROR(__xludf.DUMMYFUNCTION("""COMPUTED_VALUE"""),44451.0)</f>
        <v>44451</v>
      </c>
      <c r="T256" s="70">
        <f>IFERROR(__xludf.DUMMYFUNCTION("""COMPUTED_VALUE"""),0.7876712328767124)</f>
        <v>0.7876712329</v>
      </c>
      <c r="U256" s="71" t="str">
        <f>IFERROR(__xludf.DUMMYFUNCTION("""COMPUTED_VALUE"""),"https://www.sec.gov/cgi-bin/browse-edgar?CIK=1779128")</f>
        <v>https://www.sec.gov/cgi-bin/browse-edgar?CIK=1779128</v>
      </c>
      <c r="V256" s="72" t="str">
        <f>IFERROR(__xludf.DUMMYFUNCTION("""COMPUTED_VALUE"""),"Aerospace     Optionable      Top Tier UW ")</f>
        <v>Aerospace     Optionable      Top Tier UW </v>
      </c>
      <c r="W256" s="73">
        <f>IFERROR(__xludf.DUMMYFUNCTION("""COMPUTED_VALUE"""),44180.0)</f>
        <v>44180</v>
      </c>
      <c r="X256" s="79">
        <f>IFERROR(__xludf.DUMMYFUNCTION("""COMPUTED_VALUE"""),15.3)</f>
        <v>15.3</v>
      </c>
      <c r="Y256" s="80" t="str">
        <f>IFERROR(__xludf.DUMMYFUNCTION("""COMPUTED_VALUE"""),"https://www.businesswire.com/news/home/20201215005456/en/Blade-to-Be-Listed-on-Nasdaq-Creating-the-Only-Publicly-Traded-Global-Urban-Air-Mobility-Company")</f>
        <v>https://www.businesswire.com/news/home/20201215005456/en/Blade-to-Be-Listed-on-Nasdaq-Creating-the-Only-Publicly-Traded-Global-Urban-Air-Mobility-Company</v>
      </c>
      <c r="Z256" s="81" t="str">
        <f>IFERROR(__xludf.DUMMYFUNCTION("""COMPUTED_VALUE"""),"https://brs-apartments.flyblade.com/blade/production/uploaded-assets/1608012545.pdf")</f>
        <v>https://brs-apartments.flyblade.com/blade/production/uploaded-assets/1608012545.pdf</v>
      </c>
      <c r="AA256" s="60">
        <f>IFERROR(__xludf.DUMMYFUNCTION("""COMPUTED_VALUE"""),1.25E8)</f>
        <v>125000000</v>
      </c>
      <c r="AB256" s="60">
        <f>IFERROR(__xludf.DUMMYFUNCTION("""COMPUTED_VALUE"""),8.25E8)</f>
        <v>825000000</v>
      </c>
      <c r="AC256" s="60">
        <f>IFERROR(__xludf.DUMMYFUNCTION("""COMPUTED_VALUE"""),4.5E8)</f>
        <v>450000000</v>
      </c>
      <c r="AD256" s="73">
        <f>IFERROR(__xludf.DUMMYFUNCTION("""COMPUTED_VALUE"""),44321.0)</f>
        <v>44321</v>
      </c>
      <c r="AE256" s="73">
        <f>IFERROR(__xludf.DUMMYFUNCTION("""COMPUTED_VALUE"""),44319.0)</f>
        <v>44319</v>
      </c>
      <c r="AF256" s="76">
        <f>IFERROR(__xludf.DUMMYFUNCTION("""COMPUTED_VALUE"""),8.25E7)</f>
        <v>82500000</v>
      </c>
      <c r="AG256" s="60">
        <f>IFERROR(__xludf.DUMMYFUNCTION("""COMPUTED_VALUE"""),8.58E8)</f>
        <v>858000000</v>
      </c>
    </row>
    <row r="257">
      <c r="A257" s="54" t="str">
        <f>IFERROR(__xludf.DUMMYFUNCTION("""COMPUTED_VALUE"""),"FACA")</f>
        <v>FACA</v>
      </c>
      <c r="B257" s="55" t="str">
        <f>IFERROR(__xludf.DUMMYFUNCTION("""COMPUTED_VALUE"""),"Figure Acquisition Corp. I")</f>
        <v>Figure Acquisition Corp. I</v>
      </c>
      <c r="C257" s="56" t="str">
        <f>IFERROR(__xludf.DUMMYFUNCTION("""COMPUTED_VALUE"""),"Searching (Pre Unit Split)")</f>
        <v>Searching (Pre Unit Split)</v>
      </c>
      <c r="D257" s="77" t="str">
        <f>IFERROR(__xludf.DUMMYFUNCTION("""COMPUTED_VALUE"""),"Fintech, Financial Services")</f>
        <v>Fintech, Financial Services</v>
      </c>
      <c r="E257" s="58"/>
      <c r="F257" s="59" t="str">
        <f>IFERROR(__xludf.DUMMYFUNCTION("""COMPUTED_VALUE"""),"Michael Cagney (Fmr Chairman/CEO, SoFi), Asiff Hirji (Pres, Figure; Fmr COO, Coinbase, Fmr Operating Partner, Andreessen Horowitz; Fmr Partner, TPG Capital; Fmr COO, TD Ameritrade)")</f>
        <v>Michael Cagney (Fmr Chairman/CEO, SoFi), Asiff Hirji (Pres, Figure; Fmr COO, Coinbase, Fmr Operating Partner, Andreessen Horowitz; Fmr Partner, TPG Capital; Fmr COO, TD Ameritrade)</v>
      </c>
      <c r="G257" s="60">
        <f>IFERROR(__xludf.DUMMYFUNCTION("""COMPUTED_VALUE"""),2.875E8)</f>
        <v>287500000</v>
      </c>
      <c r="H257" s="60" t="str">
        <f>IFERROR(__xludf.DUMMYFUNCTION("""COMPUTED_VALUE""")," ")</f>
        <v> </v>
      </c>
      <c r="I257" s="61" t="str">
        <f>IFERROR(__xludf.DUMMYFUNCTION("""COMPUTED_VALUE""")," ")</f>
        <v> </v>
      </c>
      <c r="J257" s="62" t="str">
        <f>IFERROR(__xludf.DUMMYFUNCTION("""COMPUTED_VALUE""")," ")</f>
        <v> </v>
      </c>
      <c r="K257" s="59">
        <f>IFERROR(__xludf.DUMMYFUNCTION("""COMPUTED_VALUE"""),10.2)</f>
        <v>10.2</v>
      </c>
      <c r="L257" s="63" t="str">
        <f>IFERROR(__xludf.DUMMYFUNCTION("""COMPUTED_VALUE""")," ")</f>
        <v> </v>
      </c>
      <c r="M257" s="64" t="str">
        <f>IFERROR(__xludf.DUMMYFUNCTION("""COMPUTED_VALUE"""),"U: [1/4 W]; W: [1:1, $11.5]")</f>
        <v>U: [1/4 W]; W: [1:1, $11.5]</v>
      </c>
      <c r="N257" s="65">
        <f>IFERROR(__xludf.DUMMYFUNCTION("""COMPUTED_VALUE"""),44297.0)</f>
        <v>44297</v>
      </c>
      <c r="O257" s="66" t="str">
        <f>IFERROR(__xludf.DUMMYFUNCTION("""COMPUTED_VALUE"""),"")</f>
        <v/>
      </c>
      <c r="P257" s="67">
        <f>IFERROR(__xludf.DUMMYFUNCTION("""COMPUTED_VALUE"""),44245.0)</f>
        <v>44245</v>
      </c>
      <c r="Q257" s="68">
        <f>IFERROR(__xludf.DUMMYFUNCTION("""COMPUTED_VALUE"""),287.5)</f>
        <v>287.5</v>
      </c>
      <c r="R257" s="69" t="str">
        <f>IFERROR(__xludf.DUMMYFUNCTION("""COMPUTED_VALUE"""),"Citigroup")</f>
        <v>Citigroup</v>
      </c>
      <c r="S257" s="64">
        <f>IFERROR(__xludf.DUMMYFUNCTION("""COMPUTED_VALUE"""),44975.0)</f>
        <v>44975</v>
      </c>
      <c r="T257" s="70">
        <f>IFERROR(__xludf.DUMMYFUNCTION("""COMPUTED_VALUE"""),0.06986301369863014)</f>
        <v>0.0698630137</v>
      </c>
      <c r="U257" s="71" t="str">
        <f>IFERROR(__xludf.DUMMYFUNCTION("""COMPUTED_VALUE"""),"https://www.sec.gov/cgi-bin/browse-edgar?CIK=1839550")</f>
        <v>https://www.sec.gov/cgi-bin/browse-edgar?CIK=1839550</v>
      </c>
      <c r="V257" s="72" t="str">
        <f>IFERROR(__xludf.DUMMYFUNCTION("""COMPUTED_VALUE"""),"         Well-known Sponsor  Top Tier UW ")</f>
        <v>         Well-known Sponsor  Top Tier UW </v>
      </c>
      <c r="W257" s="73"/>
      <c r="X257" s="74"/>
      <c r="Y257" s="75"/>
      <c r="Z257" s="60"/>
      <c r="AA257" s="60"/>
      <c r="AB257" s="60"/>
      <c r="AC257" s="60"/>
      <c r="AD257" s="73"/>
      <c r="AE257" s="73"/>
      <c r="AF257" s="76"/>
      <c r="AG257" s="60" t="str">
        <f>IFERROR(__xludf.DUMMYFUNCTION("""COMPUTED_VALUE"""),"")</f>
        <v/>
      </c>
    </row>
    <row r="258">
      <c r="A258" s="54" t="str">
        <f>IFERROR(__xludf.DUMMYFUNCTION("""COMPUTED_VALUE"""),"FACT")</f>
        <v>FACT</v>
      </c>
      <c r="B258" s="55" t="str">
        <f>IFERROR(__xludf.DUMMYFUNCTION("""COMPUTED_VALUE"""),"Freedom Acquisition I Corp.")</f>
        <v>Freedom Acquisition I Corp.</v>
      </c>
      <c r="C258" s="56" t="str">
        <f>IFERROR(__xludf.DUMMYFUNCTION("""COMPUTED_VALUE"""),"Searching (Pre Unit Split)")</f>
        <v>Searching (Pre Unit Split)</v>
      </c>
      <c r="D258" s="77" t="str">
        <f>IFERROR(__xludf.DUMMYFUNCTION("""COMPUTED_VALUE"""),"Financial Services, Fintech")</f>
        <v>Financial Services, Fintech</v>
      </c>
      <c r="E258" s="58"/>
      <c r="F258" s="59" t="str">
        <f>IFERROR(__xludf.DUMMYFUNCTION("""COMPUTED_VALUE"""),"Tidjane Thiam (Former CEO, Credit Suisse; Fmr CEO, Prudential plc; Fmr Director, 21st Century Fox; Director, Kering), PIMCO")</f>
        <v>Tidjane Thiam (Former CEO, Credit Suisse; Fmr CEO, Prudential plc; Fmr Director, 21st Century Fox; Director, Kering), PIMCO</v>
      </c>
      <c r="G258" s="60">
        <f>IFERROR(__xludf.DUMMYFUNCTION("""COMPUTED_VALUE"""),3.45E8)</f>
        <v>345000000</v>
      </c>
      <c r="H258" s="60" t="str">
        <f>IFERROR(__xludf.DUMMYFUNCTION("""COMPUTED_VALUE""")," ")</f>
        <v> </v>
      </c>
      <c r="I258" s="61" t="str">
        <f>IFERROR(__xludf.DUMMYFUNCTION("""COMPUTED_VALUE""")," ")</f>
        <v> </v>
      </c>
      <c r="J258" s="62" t="str">
        <f>IFERROR(__xludf.DUMMYFUNCTION("""COMPUTED_VALUE""")," ")</f>
        <v> </v>
      </c>
      <c r="K258" s="59">
        <f>IFERROR(__xludf.DUMMYFUNCTION("""COMPUTED_VALUE"""),10.19)</f>
        <v>10.19</v>
      </c>
      <c r="L258" s="63" t="str">
        <f>IFERROR(__xludf.DUMMYFUNCTION("""COMPUTED_VALUE""")," ")</f>
        <v> </v>
      </c>
      <c r="M258" s="64" t="str">
        <f>IFERROR(__xludf.DUMMYFUNCTION("""COMPUTED_VALUE"""),"U: [1/4 W]; W: [1:1, $11.5]")</f>
        <v>U: [1/4 W]; W: [1:1, $11.5]</v>
      </c>
      <c r="N258" s="65">
        <f>IFERROR(__xludf.DUMMYFUNCTION("""COMPUTED_VALUE"""),44304.0)</f>
        <v>44304</v>
      </c>
      <c r="O258" s="66" t="str">
        <f>IFERROR(__xludf.DUMMYFUNCTION("""COMPUTED_VALUE"""),"")</f>
        <v/>
      </c>
      <c r="P258" s="67">
        <f>IFERROR(__xludf.DUMMYFUNCTION("""COMPUTED_VALUE"""),44252.0)</f>
        <v>44252</v>
      </c>
      <c r="Q258" s="68">
        <f>IFERROR(__xludf.DUMMYFUNCTION("""COMPUTED_VALUE"""),345.0)</f>
        <v>345</v>
      </c>
      <c r="R258" s="85" t="str">
        <f>IFERROR(__xludf.DUMMYFUNCTION("""COMPUTED_VALUE"""),"Credit Suisse, BofA Securities, Goldman Sachs")</f>
        <v>Credit Suisse, BofA Securities, Goldman Sachs</v>
      </c>
      <c r="S258" s="64">
        <f>IFERROR(__xludf.DUMMYFUNCTION("""COMPUTED_VALUE"""),44982.0)</f>
        <v>44982</v>
      </c>
      <c r="T258" s="70">
        <f>IFERROR(__xludf.DUMMYFUNCTION("""COMPUTED_VALUE"""),0.06027397260273973)</f>
        <v>0.0602739726</v>
      </c>
      <c r="U258" s="71" t="str">
        <f>IFERROR(__xludf.DUMMYFUNCTION("""COMPUTED_VALUE"""),"https://www.sec.gov/cgi-bin/browse-edgar?CIK=1838987")</f>
        <v>https://www.sec.gov/cgi-bin/browse-edgar?CIK=1838987</v>
      </c>
      <c r="V258" s="72" t="str">
        <f>IFERROR(__xludf.DUMMYFUNCTION("""COMPUTED_VALUE"""),"         Well-known Sponsor  Top Tier UW ")</f>
        <v>         Well-known Sponsor  Top Tier UW </v>
      </c>
      <c r="W258" s="73"/>
      <c r="X258" s="74"/>
      <c r="Y258" s="75"/>
      <c r="Z258" s="60"/>
      <c r="AA258" s="60"/>
      <c r="AB258" s="60"/>
      <c r="AC258" s="60"/>
      <c r="AD258" s="73"/>
      <c r="AE258" s="73"/>
      <c r="AF258" s="76"/>
      <c r="AG258" s="60"/>
    </row>
    <row r="259">
      <c r="A259" s="54" t="str">
        <f>IFERROR(__xludf.DUMMYFUNCTION("""COMPUTED_VALUE"""),"FAII")</f>
        <v>FAII</v>
      </c>
      <c r="B259" s="55" t="str">
        <f>IFERROR(__xludf.DUMMYFUNCTION("""COMPUTED_VALUE"""),"Fortress Value Acquisition Corp. II")</f>
        <v>Fortress Value Acquisition Corp. II</v>
      </c>
      <c r="C259" s="56" t="str">
        <f>IFERROR(__xludf.DUMMYFUNCTION("""COMPUTED_VALUE"""),"Definitive Agreement")</f>
        <v>Definitive Agreement</v>
      </c>
      <c r="D259" s="57"/>
      <c r="E259" s="58" t="str">
        <f>IFERROR(__xludf.DUMMYFUNCTION("""COMPUTED_VALUE"""),"ATI Physical Therapy [DA: 02/22/21]")</f>
        <v>ATI Physical Therapy [DA: 02/22/21]</v>
      </c>
      <c r="F259" s="59" t="str">
        <f>IFERROR(__xludf.DUMMYFUNCTION("""COMPUTED_VALUE"""),"SoftBank, Rakefet Russak-Aminoach (Former CEO, Bank Leumi - largest bank in Israel)")</f>
        <v>SoftBank, Rakefet Russak-Aminoach (Former CEO, Bank Leumi - largest bank in Israel)</v>
      </c>
      <c r="G259" s="60">
        <f>IFERROR(__xludf.DUMMYFUNCTION("""COMPUTED_VALUE"""),3.45012336E8)</f>
        <v>345012336</v>
      </c>
      <c r="H259" s="60">
        <f>IFERROR(__xludf.DUMMYFUNCTION("""COMPUTED_VALUE"""),3.52245E8)</f>
        <v>352245000</v>
      </c>
      <c r="I259" s="61">
        <f>IFERROR(__xludf.DUMMYFUNCTION("""COMPUTED_VALUE"""),10.21)</f>
        <v>10.21</v>
      </c>
      <c r="J259" s="62"/>
      <c r="K259" s="59">
        <f>IFERROR(__xludf.DUMMYFUNCTION("""COMPUTED_VALUE"""),10.35)</f>
        <v>10.35</v>
      </c>
      <c r="L259" s="63">
        <f>IFERROR(__xludf.DUMMYFUNCTION("""COMPUTED_VALUE"""),1.66)</f>
        <v>1.66</v>
      </c>
      <c r="M259" s="64" t="str">
        <f>IFERROR(__xludf.DUMMYFUNCTION("""COMPUTED_VALUE"""),"U: [1/5 W]; W: [1:1, $11.5]")</f>
        <v>U: [1/5 W]; W: [1:1, $11.5]</v>
      </c>
      <c r="N259" s="65" t="str">
        <f>IFERROR(__xludf.DUMMYFUNCTION("""COMPUTED_VALUE"""),"")</f>
        <v/>
      </c>
      <c r="O259" s="66">
        <f>IFERROR(__xludf.DUMMYFUNCTION("""COMPUTED_VALUE"""),0.0)</f>
        <v>0</v>
      </c>
      <c r="P259" s="67">
        <f>IFERROR(__xludf.DUMMYFUNCTION("""COMPUTED_VALUE"""),44055.0)</f>
        <v>44055</v>
      </c>
      <c r="Q259" s="68">
        <f>IFERROR(__xludf.DUMMYFUNCTION("""COMPUTED_VALUE"""),345.0)</f>
        <v>345</v>
      </c>
      <c r="R259" s="85" t="str">
        <f>IFERROR(__xludf.DUMMYFUNCTION("""COMPUTED_VALUE"""),"Deutsche Bank Securities, Morgan Stanley, BofA Securities")</f>
        <v>Deutsche Bank Securities, Morgan Stanley, BofA Securities</v>
      </c>
      <c r="S259" s="64">
        <f>IFERROR(__xludf.DUMMYFUNCTION("""COMPUTED_VALUE"""),44785.0)</f>
        <v>44785</v>
      </c>
      <c r="T259" s="70">
        <f>IFERROR(__xludf.DUMMYFUNCTION("""COMPUTED_VALUE"""),0.33013698630136984)</f>
        <v>0.3301369863</v>
      </c>
      <c r="U259" s="71" t="str">
        <f>IFERROR(__xludf.DUMMYFUNCTION("""COMPUTED_VALUE"""),"https://www.sec.gov/cgi-bin/browse-edgar?CIK=1815849")</f>
        <v>https://www.sec.gov/cgi-bin/browse-edgar?CIK=1815849</v>
      </c>
      <c r="V259" s="72" t="str">
        <f>IFERROR(__xludf.DUMMYFUNCTION("""COMPUTED_VALUE"""),"     Optionable    Well-known Sponsor Serial Sponsor Top Tier UW ")</f>
        <v>     Optionable    Well-known Sponsor Serial Sponsor Top Tier UW </v>
      </c>
      <c r="W259" s="73">
        <f>IFERROR(__xludf.DUMMYFUNCTION("""COMPUTED_VALUE"""),44249.0)</f>
        <v>44249</v>
      </c>
      <c r="X259" s="79">
        <f>IFERROR(__xludf.DUMMYFUNCTION("""COMPUTED_VALUE"""),6.466666666666667)</f>
        <v>6.466666667</v>
      </c>
      <c r="Y259" s="80" t="str">
        <f>IFERROR(__xludf.DUMMYFUNCTION("""COMPUTED_VALUE"""),"https://www.prnewswire.com/news-releases/advent-international-backed-ati-physical-therapy-set-to-go-public-through-business-combination-with-fortress-value-acquisition-corp-ii-301232282.html")</f>
        <v>https://www.prnewswire.com/news-releases/advent-international-backed-ati-physical-therapy-set-to-go-public-through-business-combination-with-fortress-value-acquisition-corp-ii-301232282.html</v>
      </c>
      <c r="Z259" s="81" t="str">
        <f>IFERROR(__xludf.DUMMYFUNCTION("""COMPUTED_VALUE"""),"https://www.sec.gov/Archives/edgar/data/1815849/000119312521050079/d115588dex992.htm")</f>
        <v>https://www.sec.gov/Archives/edgar/data/1815849/000119312521050079/d115588dex992.htm</v>
      </c>
      <c r="AA259" s="60">
        <f>IFERROR(__xludf.DUMMYFUNCTION("""COMPUTED_VALUE"""),3.0E7)</f>
        <v>30000000</v>
      </c>
      <c r="AB259" s="60">
        <f>IFERROR(__xludf.DUMMYFUNCTION("""COMPUTED_VALUE"""),2.077E9)</f>
        <v>2077000000</v>
      </c>
      <c r="AC259" s="60">
        <f>IFERROR(__xludf.DUMMYFUNCTION("""COMPUTED_VALUE"""),2.45E9)</f>
        <v>2450000000</v>
      </c>
      <c r="AD259" s="73"/>
      <c r="AE259" s="73"/>
      <c r="AF259" s="76">
        <f>IFERROR(__xludf.DUMMYFUNCTION("""COMPUTED_VALUE"""),2.077E8)</f>
        <v>207700000</v>
      </c>
      <c r="AG259" s="60">
        <f>IFERROR(__xludf.DUMMYFUNCTION("""COMPUTED_VALUE"""),2.1206170000000002E9)</f>
        <v>2120617000</v>
      </c>
    </row>
    <row r="260">
      <c r="A260" s="54" t="str">
        <f>IFERROR(__xludf.DUMMYFUNCTION("""COMPUTED_VALUE"""),"FCAC")</f>
        <v>FCAC</v>
      </c>
      <c r="B260" s="55" t="str">
        <f>IFERROR(__xludf.DUMMYFUNCTION("""COMPUTED_VALUE"""),"Falcon Capital Acquisition Corp.")</f>
        <v>Falcon Capital Acquisition Corp.</v>
      </c>
      <c r="C260" s="56" t="str">
        <f>IFERROR(__xludf.DUMMYFUNCTION("""COMPUTED_VALUE"""),"Definitive Agreement")</f>
        <v>Definitive Agreement</v>
      </c>
      <c r="D260" s="77" t="str">
        <f>IFERROR(__xludf.DUMMYFUNCTION("""COMPUTED_VALUE"""),"Media, Digital Media / Consumer Tech, Interactive Entertainment")</f>
        <v>Media, Digital Media / Consumer Tech, Interactive Entertainment</v>
      </c>
      <c r="E260" s="58" t="str">
        <f>IFERROR(__xludf.DUMMYFUNCTION("""COMPUTED_VALUE"""),"Sharecare [DA: 02/12/21]")</f>
        <v>Sharecare [DA: 02/12/21]</v>
      </c>
      <c r="F260" s="59" t="str">
        <f>IFERROR(__xludf.DUMMYFUNCTION("""COMPUTED_VALUE"""),"Alan Mnuchin (Board of Directors, FEAC and Target Hospitality), Jeff Sagansky (FEAC, Eagle Equity Partners)")</f>
        <v>Alan Mnuchin (Board of Directors, FEAC and Target Hospitality), Jeff Sagansky (FEAC, Eagle Equity Partners)</v>
      </c>
      <c r="G260" s="60">
        <f>IFERROR(__xludf.DUMMYFUNCTION("""COMPUTED_VALUE"""),3.45001764E8)</f>
        <v>345001764</v>
      </c>
      <c r="H260" s="60">
        <f>IFERROR(__xludf.DUMMYFUNCTION("""COMPUTED_VALUE"""),3.44655E8)</f>
        <v>344655000</v>
      </c>
      <c r="I260" s="61">
        <f>IFERROR(__xludf.DUMMYFUNCTION("""COMPUTED_VALUE"""),9.99)</f>
        <v>9.99</v>
      </c>
      <c r="J260" s="62">
        <f>IFERROR(__xludf.DUMMYFUNCTION("""COMPUTED_VALUE"""),-0.002)</f>
        <v>-0.002</v>
      </c>
      <c r="K260" s="59">
        <f>IFERROR(__xludf.DUMMYFUNCTION("""COMPUTED_VALUE"""),10.45)</f>
        <v>10.45</v>
      </c>
      <c r="L260" s="63">
        <f>IFERROR(__xludf.DUMMYFUNCTION("""COMPUTED_VALUE"""),1.45)</f>
        <v>1.45</v>
      </c>
      <c r="M260" s="64" t="str">
        <f>IFERROR(__xludf.DUMMYFUNCTION("""COMPUTED_VALUE"""),"U: [1/3 W]; W: [1:1, $11.5]")</f>
        <v>U: [1/3 W]; W: [1:1, $11.5]</v>
      </c>
      <c r="N260" s="65" t="str">
        <f>IFERROR(__xludf.DUMMYFUNCTION("""COMPUTED_VALUE"""),"")</f>
        <v/>
      </c>
      <c r="O260" s="66">
        <f>IFERROR(__xludf.DUMMYFUNCTION("""COMPUTED_VALUE"""),0.0)</f>
        <v>0</v>
      </c>
      <c r="P260" s="67">
        <f>IFERROR(__xludf.DUMMYFUNCTION("""COMPUTED_VALUE"""),44095.0)</f>
        <v>44095</v>
      </c>
      <c r="Q260" s="68">
        <f>IFERROR(__xludf.DUMMYFUNCTION("""COMPUTED_VALUE"""),345.0)</f>
        <v>345</v>
      </c>
      <c r="R260" s="69" t="str">
        <f>IFERROR(__xludf.DUMMYFUNCTION("""COMPUTED_VALUE"""),"Goldman Sachs")</f>
        <v>Goldman Sachs</v>
      </c>
      <c r="S260" s="64">
        <f>IFERROR(__xludf.DUMMYFUNCTION("""COMPUTED_VALUE"""),44825.0)</f>
        <v>44825</v>
      </c>
      <c r="T260" s="70">
        <f>IFERROR(__xludf.DUMMYFUNCTION("""COMPUTED_VALUE"""),0.27534246575342464)</f>
        <v>0.2753424658</v>
      </c>
      <c r="U260" s="71" t="str">
        <f>IFERROR(__xludf.DUMMYFUNCTION("""COMPUTED_VALUE"""),"https://www.sec.gov/cgi-bin/browse-edgar?CIK=1816233")</f>
        <v>https://www.sec.gov/cgi-bin/browse-edgar?CIK=1816233</v>
      </c>
      <c r="V260" s="72" t="str">
        <f>IFERROR(__xludf.DUMMYFUNCTION("""COMPUTED_VALUE""")," Trading Below $10 (Common)    Optionable    Well-known Sponsor  Top Tier UW ")</f>
        <v> Trading Below $10 (Common)    Optionable    Well-known Sponsor  Top Tier UW </v>
      </c>
      <c r="W260" s="73">
        <f>IFERROR(__xludf.DUMMYFUNCTION("""COMPUTED_VALUE"""),44239.0)</f>
        <v>44239</v>
      </c>
      <c r="X260" s="79">
        <f>IFERROR(__xludf.DUMMYFUNCTION("""COMPUTED_VALUE"""),4.8)</f>
        <v>4.8</v>
      </c>
      <c r="Y260" s="80" t="str">
        <f>IFERROR(__xludf.DUMMYFUNCTION("""COMPUTED_VALUE"""),"https://www.prnewswire.com/news-releases/sharecare-and-falcon-capital-acquisition-corp-reach-agreement-to-combine-creating-publicly-traded-digital-health-company-301227530.html")</f>
        <v>https://www.prnewswire.com/news-releases/sharecare-and-falcon-capital-acquisition-corp-reach-agreement-to-combine-creating-publicly-traded-digital-health-company-301227530.html</v>
      </c>
      <c r="Z260" s="81" t="str">
        <f>IFERROR(__xludf.DUMMYFUNCTION("""COMPUTED_VALUE"""),"https://www.sec.gov/Archives/edgar/data/1816233/000121390021008660/ea135097ex99-2_falcon.htm")</f>
        <v>https://www.sec.gov/Archives/edgar/data/1816233/000121390021008660/ea135097ex99-2_falcon.htm</v>
      </c>
      <c r="AA260" s="60">
        <f>IFERROR(__xludf.DUMMYFUNCTION("""COMPUTED_VALUE"""),4.25E8)</f>
        <v>425000000</v>
      </c>
      <c r="AB260" s="60">
        <f>IFERROR(__xludf.DUMMYFUNCTION("""COMPUTED_VALUE"""),4.151E9)</f>
        <v>4151000000</v>
      </c>
      <c r="AC260" s="60">
        <f>IFERROR(__xludf.DUMMYFUNCTION("""COMPUTED_VALUE"""),3.75E9)</f>
        <v>3750000000</v>
      </c>
      <c r="AD260" s="73"/>
      <c r="AE260" s="73"/>
      <c r="AF260" s="76">
        <f>IFERROR(__xludf.DUMMYFUNCTION("""COMPUTED_VALUE"""),4.151E8)</f>
        <v>415100000</v>
      </c>
      <c r="AG260" s="60">
        <f>IFERROR(__xludf.DUMMYFUNCTION("""COMPUTED_VALUE"""),4.146849E9)</f>
        <v>4146849000</v>
      </c>
    </row>
    <row r="261">
      <c r="A261" s="54" t="str">
        <f>IFERROR(__xludf.DUMMYFUNCTION("""COMPUTED_VALUE"""),"FCAX")</f>
        <v>FCAX</v>
      </c>
      <c r="B261" s="55" t="str">
        <f>IFERROR(__xludf.DUMMYFUNCTION("""COMPUTED_VALUE"""),"Fortress Capital Acquisition Corp.")</f>
        <v>Fortress Capital Acquisition Corp.</v>
      </c>
      <c r="C261" s="56" t="str">
        <f>IFERROR(__xludf.DUMMYFUNCTION("""COMPUTED_VALUE"""),"Searching")</f>
        <v>Searching</v>
      </c>
      <c r="D261" s="57" t="str">
        <f>IFERROR(__xludf.DUMMYFUNCTION("""COMPUTED_VALUE"""),"Fintech, Financial Services")</f>
        <v>Fintech, Financial Services</v>
      </c>
      <c r="E261" s="58"/>
      <c r="F261" s="59" t="str">
        <f>IFERROR(__xludf.DUMMYFUNCTION("""COMPUTED_VALUE"""),"Michael Nierenberg (Chairman/CEO, New Residential Investment Corp: NRZ; Managing Director, Fortress's Private Equity Group), Elizabeth Fascitelli (Fmr Partner/Managing Director, Goldman Sachs)")</f>
        <v>Michael Nierenberg (Chairman/CEO, New Residential Investment Corp: NRZ; Managing Director, Fortress's Private Equity Group), Elizabeth Fascitelli (Fmr Partner/Managing Director, Goldman Sachs)</v>
      </c>
      <c r="G261" s="60">
        <f>IFERROR(__xludf.DUMMYFUNCTION("""COMPUTED_VALUE"""),4.0E8)</f>
        <v>400000000</v>
      </c>
      <c r="H261" s="60"/>
      <c r="I261" s="61">
        <f>IFERROR(__xludf.DUMMYFUNCTION("""COMPUTED_VALUE"""),9.86)</f>
        <v>9.86</v>
      </c>
      <c r="J261" s="62">
        <f>IFERROR(__xludf.DUMMYFUNCTION("""COMPUTED_VALUE"""),-0.00404)</f>
        <v>-0.00404</v>
      </c>
      <c r="K261" s="59">
        <f>IFERROR(__xludf.DUMMYFUNCTION("""COMPUTED_VALUE"""),10.0872)</f>
        <v>10.0872</v>
      </c>
      <c r="L261" s="63">
        <f>IFERROR(__xludf.DUMMYFUNCTION("""COMPUTED_VALUE"""),1.13)</f>
        <v>1.13</v>
      </c>
      <c r="M261" s="64" t="str">
        <f>IFERROR(__xludf.DUMMYFUNCTION("""COMPUTED_VALUE"""),"U: [1/5 W]; W: [1:1, $11.5]")</f>
        <v>U: [1/5 W]; W: [1:1, $11.5]</v>
      </c>
      <c r="N261" s="65">
        <f>IFERROR(__xludf.DUMMYFUNCTION("""COMPUTED_VALUE"""),44260.0)</f>
        <v>44260</v>
      </c>
      <c r="O261" s="66">
        <f>IFERROR(__xludf.DUMMYFUNCTION("""COMPUTED_VALUE"""),0.0)</f>
        <v>0</v>
      </c>
      <c r="P261" s="67">
        <f>IFERROR(__xludf.DUMMYFUNCTION("""COMPUTED_VALUE"""),44209.0)</f>
        <v>44209</v>
      </c>
      <c r="Q261" s="68">
        <f>IFERROR(__xludf.DUMMYFUNCTION("""COMPUTED_VALUE"""),400.0)</f>
        <v>400</v>
      </c>
      <c r="R261" s="85" t="str">
        <f>IFERROR(__xludf.DUMMYFUNCTION("""COMPUTED_VALUE"""),"Citigroup, Goldman Sachs")</f>
        <v>Citigroup, Goldman Sachs</v>
      </c>
      <c r="S261" s="64">
        <f>IFERROR(__xludf.DUMMYFUNCTION("""COMPUTED_VALUE"""),44939.0)</f>
        <v>44939</v>
      </c>
      <c r="T261" s="70">
        <f>IFERROR(__xludf.DUMMYFUNCTION("""COMPUTED_VALUE"""),0.11917808219178082)</f>
        <v>0.1191780822</v>
      </c>
      <c r="U261" s="71" t="str">
        <f>IFERROR(__xludf.DUMMYFUNCTION("""COMPUTED_VALUE"""),"https://www.sec.gov/cgi-bin/browse-edgar?CIK=1823733")</f>
        <v>https://www.sec.gov/cgi-bin/browse-edgar?CIK=1823733</v>
      </c>
      <c r="V261" s="72" t="str">
        <f>IFERROR(__xludf.DUMMYFUNCTION("""COMPUTED_VALUE""")," Trading Below $10 (Common)          Top Tier UW ")</f>
        <v> Trading Below $10 (Common)          Top Tier UW </v>
      </c>
      <c r="W261" s="73"/>
      <c r="X261" s="74"/>
      <c r="Y261" s="75"/>
      <c r="Z261" s="60"/>
      <c r="AA261" s="60"/>
      <c r="AB261" s="60"/>
      <c r="AC261" s="60"/>
      <c r="AD261" s="73"/>
      <c r="AE261" s="73"/>
      <c r="AF261" s="76"/>
      <c r="AG261" s="60" t="str">
        <f>IFERROR(__xludf.DUMMYFUNCTION("""COMPUTED_VALUE"""),"")</f>
        <v/>
      </c>
    </row>
    <row r="262">
      <c r="A262" s="54" t="str">
        <f>IFERROR(__xludf.DUMMYFUNCTION("""COMPUTED_VALUE"""),"FGNA")</f>
        <v>FGNA</v>
      </c>
      <c r="B262" s="55" t="str">
        <f>IFERROR(__xludf.DUMMYFUNCTION("""COMPUTED_VALUE"""),"FG New America Acquisition Corp.")</f>
        <v>FG New America Acquisition Corp.</v>
      </c>
      <c r="C262" s="56" t="str">
        <f>IFERROR(__xludf.DUMMYFUNCTION("""COMPUTED_VALUE"""),"Definitive Agreement")</f>
        <v>Definitive Agreement</v>
      </c>
      <c r="D262" s="77" t="str">
        <f>IFERROR(__xludf.DUMMYFUNCTION("""COMPUTED_VALUE"""),"FinTech, InsureTech, Financial Services, Insurance")</f>
        <v>FinTech, InsureTech, Financial Services, Insurance</v>
      </c>
      <c r="E262" s="58" t="str">
        <f>IFERROR(__xludf.DUMMYFUNCTION("""COMPUTED_VALUE"""),"OppFi [DA: 02/10/21]")</f>
        <v>OppFi [DA: 02/10/21]</v>
      </c>
      <c r="F262" s="59" t="str">
        <f>IFERROR(__xludf.DUMMYFUNCTION("""COMPUTED_VALUE"""),"Joseph Moglia (Chairman and Former CEO, TD Ameritrade)")</f>
        <v>Joseph Moglia (Chairman and Former CEO, TD Ameritrade)</v>
      </c>
      <c r="G262" s="60">
        <f>IFERROR(__xludf.DUMMYFUNCTION("""COMPUTED_VALUE"""),2.3775E8)</f>
        <v>237750000</v>
      </c>
      <c r="H262" s="60">
        <f>IFERROR(__xludf.DUMMYFUNCTION("""COMPUTED_VALUE"""),2.49652844E8)</f>
        <v>249652844</v>
      </c>
      <c r="I262" s="61">
        <f>IFERROR(__xludf.DUMMYFUNCTION("""COMPUTED_VALUE"""),10.25)</f>
        <v>10.25</v>
      </c>
      <c r="J262" s="62">
        <f>IFERROR(__xludf.DUMMYFUNCTION("""COMPUTED_VALUE"""),-0.00292)</f>
        <v>-0.00292</v>
      </c>
      <c r="K262" s="59">
        <f>IFERROR(__xludf.DUMMYFUNCTION("""COMPUTED_VALUE"""),11.15)</f>
        <v>11.15</v>
      </c>
      <c r="L262" s="63">
        <f>IFERROR(__xludf.DUMMYFUNCTION("""COMPUTED_VALUE"""),1.79)</f>
        <v>1.79</v>
      </c>
      <c r="M262" s="64" t="str">
        <f>IFERROR(__xludf.DUMMYFUNCTION("""COMPUTED_VALUE"""),"U: [1/2 W]; W: [1:1, $11.5]")</f>
        <v>U: [1/2 W]; W: [1:1, $11.5]</v>
      </c>
      <c r="N262" s="65" t="str">
        <f>IFERROR(__xludf.DUMMYFUNCTION("""COMPUTED_VALUE"""),"")</f>
        <v/>
      </c>
      <c r="O262" s="66">
        <f>IFERROR(__xludf.DUMMYFUNCTION("""COMPUTED_VALUE"""),0.0)</f>
        <v>0</v>
      </c>
      <c r="P262" s="67">
        <f>IFERROR(__xludf.DUMMYFUNCTION("""COMPUTED_VALUE"""),44103.0)</f>
        <v>44103</v>
      </c>
      <c r="Q262" s="68">
        <f>IFERROR(__xludf.DUMMYFUNCTION("""COMPUTED_VALUE"""),237.75)</f>
        <v>237.75</v>
      </c>
      <c r="R262" s="69" t="str">
        <f>IFERROR(__xludf.DUMMYFUNCTION("""COMPUTED_VALUE"""),"Piper Sandler, Think Equity")</f>
        <v>Piper Sandler, Think Equity</v>
      </c>
      <c r="S262" s="64">
        <f>IFERROR(__xludf.DUMMYFUNCTION("""COMPUTED_VALUE"""),44833.0)</f>
        <v>44833</v>
      </c>
      <c r="T262" s="70">
        <f>IFERROR(__xludf.DUMMYFUNCTION("""COMPUTED_VALUE"""),0.26438356164383564)</f>
        <v>0.2643835616</v>
      </c>
      <c r="U262" s="71" t="str">
        <f>IFERROR(__xludf.DUMMYFUNCTION("""COMPUTED_VALUE"""),"https://www.sec.gov/cgi-bin/browse-edgar?CIK=1818502")</f>
        <v>https://www.sec.gov/cgi-bin/browse-edgar?CIK=1818502</v>
      </c>
      <c r="V262" s="72" t="str">
        <f>IFERROR(__xludf.DUMMYFUNCTION("""COMPUTED_VALUE"""),"     Optionable    Well-known Sponsor   ")</f>
        <v>     Optionable    Well-known Sponsor   </v>
      </c>
      <c r="W262" s="73">
        <f>IFERROR(__xludf.DUMMYFUNCTION("""COMPUTED_VALUE"""),44237.0)</f>
        <v>44237</v>
      </c>
      <c r="X262" s="79">
        <f>IFERROR(__xludf.DUMMYFUNCTION("""COMPUTED_VALUE"""),4.466666666666667)</f>
        <v>4.466666667</v>
      </c>
      <c r="Y262" s="80" t="str">
        <f>IFERROR(__xludf.DUMMYFUNCTION("""COMPUTED_VALUE"""),"https://www.prnewswire.com/news-releases/opportunity-financial-oppfi-a-leading-fintech-platform-powering-credit-access-for-the-everyday-consumer-enters-into-definitive-business-combination-agreement-with-fg-new-america-acquisition-corp-301225844.html")</f>
        <v>https://www.prnewswire.com/news-releases/opportunity-financial-oppfi-a-leading-fintech-platform-powering-credit-access-for-the-everyday-consumer-enters-into-definitive-business-combination-agreement-with-fg-new-america-acquisition-corp-301225844.html</v>
      </c>
      <c r="Z262" s="81" t="str">
        <f>IFERROR(__xludf.DUMMYFUNCTION("""COMPUTED_VALUE"""),"https://www.sec.gov/Archives/edgar/data/1818502/000110465921017063/tm216066d1_ex99-2.htm")</f>
        <v>https://www.sec.gov/Archives/edgar/data/1818502/000110465921017063/tm216066d1_ex99-2.htm</v>
      </c>
      <c r="AA262" s="60"/>
      <c r="AB262" s="60">
        <f>IFERROR(__xludf.DUMMYFUNCTION("""COMPUTED_VALUE"""),8.03E8)</f>
        <v>803000000</v>
      </c>
      <c r="AC262" s="60">
        <f>IFERROR(__xludf.DUMMYFUNCTION("""COMPUTED_VALUE"""),9.09E8)</f>
        <v>909000000</v>
      </c>
      <c r="AD262" s="73"/>
      <c r="AE262" s="73"/>
      <c r="AF262" s="76">
        <f>IFERROR(__xludf.DUMMYFUNCTION("""COMPUTED_VALUE"""),8.03E7)</f>
        <v>80300000</v>
      </c>
      <c r="AG262" s="60">
        <f>IFERROR(__xludf.DUMMYFUNCTION("""COMPUTED_VALUE"""),8.23075E8)</f>
        <v>823075000</v>
      </c>
    </row>
    <row r="263">
      <c r="A263" s="54" t="str">
        <f>IFERROR(__xludf.DUMMYFUNCTION("""COMPUTED_VALUE"""),"FGNB")</f>
        <v>FGNB</v>
      </c>
      <c r="B263" s="55" t="str">
        <f>IFERROR(__xludf.DUMMYFUNCTION("""COMPUTED_VALUE"""),"FG New America Acquisition II Corp")</f>
        <v>FG New America Acquisition II Corp</v>
      </c>
      <c r="C263" s="56" t="str">
        <f>IFERROR(__xludf.DUMMYFUNCTION("""COMPUTED_VALUE"""),"Pre IPO")</f>
        <v>Pre IPO</v>
      </c>
      <c r="D263" s="77" t="str">
        <f>IFERROR(__xludf.DUMMYFUNCTION("""COMPUTED_VALUE"""),"FinTech, InsureTech, Financial Services, Insurance")</f>
        <v>FinTech, InsureTech, Financial Services, Insurance</v>
      </c>
      <c r="E263" s="58"/>
      <c r="F263" s="59" t="str">
        <f>IFERROR(__xludf.DUMMYFUNCTION("""COMPUTED_VALUE"""),"Joseph Moglia (Chairman and Former CEO, TD Ameritrade)")</f>
        <v>Joseph Moglia (Chairman and Former CEO, TD Ameritrade)</v>
      </c>
      <c r="G263" s="60">
        <f>IFERROR(__xludf.DUMMYFUNCTION("""COMPUTED_VALUE"""),2.25E8)</f>
        <v>225000000</v>
      </c>
      <c r="H263" s="60" t="str">
        <f>IFERROR(__xludf.DUMMYFUNCTION("""COMPUTED_VALUE""")," ")</f>
        <v> </v>
      </c>
      <c r="I263" s="61" t="str">
        <f>IFERROR(__xludf.DUMMYFUNCTION("""COMPUTED_VALUE""")," ")</f>
        <v> </v>
      </c>
      <c r="J263" s="62" t="str">
        <f>IFERROR(__xludf.DUMMYFUNCTION("""COMPUTED_VALUE""")," ")</f>
        <v> </v>
      </c>
      <c r="K263" s="59" t="str">
        <f>IFERROR(__xludf.DUMMYFUNCTION("""COMPUTED_VALUE""")," ")</f>
        <v> </v>
      </c>
      <c r="L263" s="63" t="str">
        <f>IFERROR(__xludf.DUMMYFUNCTION("""COMPUTED_VALUE""")," ")</f>
        <v> </v>
      </c>
      <c r="M263" s="64" t="str">
        <f>IFERROR(__xludf.DUMMYFUNCTION("""COMPUTED_VALUE"""),"U: [1/3 W]; W: [1:1, $11.5]")</f>
        <v>U: [1/3 W]; W: [1:1, $11.5]</v>
      </c>
      <c r="N263" s="65" t="str">
        <f>IFERROR(__xludf.DUMMYFUNCTION("""COMPUTED_VALUE"""),"")</f>
        <v/>
      </c>
      <c r="O263" s="66" t="str">
        <f>IFERROR(__xludf.DUMMYFUNCTION("""COMPUTED_VALUE"""),"")</f>
        <v/>
      </c>
      <c r="P263" s="67"/>
      <c r="Q263" s="68">
        <f>IFERROR(__xludf.DUMMYFUNCTION("""COMPUTED_VALUE"""),225.0)</f>
        <v>225</v>
      </c>
      <c r="R263" s="85" t="str">
        <f>IFERROR(__xludf.DUMMYFUNCTION("""COMPUTED_VALUE"""),"ThinkEquity")</f>
        <v>ThinkEquity</v>
      </c>
      <c r="S263" s="64">
        <f>IFERROR(__xludf.DUMMYFUNCTION("""COMPUTED_VALUE"""),45086.0)</f>
        <v>45086</v>
      </c>
      <c r="T263" s="70" t="str">
        <f>IFERROR(__xludf.DUMMYFUNCTION("""COMPUTED_VALUE"""),"")</f>
        <v/>
      </c>
      <c r="U263" s="71" t="str">
        <f>IFERROR(__xludf.DUMMYFUNCTION("""COMPUTED_VALUE"""),"https://www.sec.gov/cgi-bin/browse-edgar?CIK=1844364")</f>
        <v>https://www.sec.gov/cgi-bin/browse-edgar?CIK=1844364</v>
      </c>
      <c r="V263" s="72" t="str">
        <f>IFERROR(__xludf.DUMMYFUNCTION("""COMPUTED_VALUE"""),"         Well-known Sponsor   ")</f>
        <v>         Well-known Sponsor   </v>
      </c>
      <c r="W263" s="73"/>
      <c r="X263" s="74"/>
      <c r="Y263" s="75"/>
      <c r="Z263" s="60"/>
      <c r="AA263" s="60"/>
      <c r="AB263" s="60"/>
      <c r="AC263" s="60"/>
      <c r="AD263" s="73"/>
      <c r="AE263" s="73"/>
      <c r="AF263" s="76"/>
      <c r="AG263" s="60"/>
    </row>
    <row r="264">
      <c r="A264" s="54" t="str">
        <f>IFERROR(__xludf.DUMMYFUNCTION("""COMPUTED_VALUE"""),"FIII")</f>
        <v>FIII</v>
      </c>
      <c r="B264" s="55" t="str">
        <f>IFERROR(__xludf.DUMMYFUNCTION("""COMPUTED_VALUE"""),"Forum Merger III Corporation")</f>
        <v>Forum Merger III Corporation</v>
      </c>
      <c r="C264" s="56" t="str">
        <f>IFERROR(__xludf.DUMMYFUNCTION("""COMPUTED_VALUE"""),"Definitive Agreement")</f>
        <v>Definitive Agreement</v>
      </c>
      <c r="D264" s="57"/>
      <c r="E264" s="58" t="str">
        <f>IFERROR(__xludf.DUMMYFUNCTION("""COMPUTED_VALUE"""),"Electric Last Mile Solutions [DA: 12/10/20]")</f>
        <v>Electric Last Mile Solutions [DA: 12/10/20]</v>
      </c>
      <c r="F264" s="59" t="str">
        <f>IFERROR(__xludf.DUMMYFUNCTION("""COMPUTED_VALUE"""),"Marshall Kiev and David Boris (Forum I &amp; II)")</f>
        <v>Marshall Kiev and David Boris (Forum I &amp; II)</v>
      </c>
      <c r="G264" s="60">
        <f>IFERROR(__xludf.DUMMYFUNCTION("""COMPUTED_VALUE"""),2.50022847E8)</f>
        <v>250022847</v>
      </c>
      <c r="H264" s="60">
        <f>IFERROR(__xludf.DUMMYFUNCTION("""COMPUTED_VALUE"""),2.57927325E8)</f>
        <v>257927325</v>
      </c>
      <c r="I264" s="61">
        <f>IFERROR(__xludf.DUMMYFUNCTION("""COMPUTED_VALUE"""),10.02)</f>
        <v>10.02</v>
      </c>
      <c r="J264" s="62">
        <f>IFERROR(__xludf.DUMMYFUNCTION("""COMPUTED_VALUE"""),-0.00497)</f>
        <v>-0.00497</v>
      </c>
      <c r="K264" s="59">
        <f>IFERROR(__xludf.DUMMYFUNCTION("""COMPUTED_VALUE"""),10.7753)</f>
        <v>10.7753</v>
      </c>
      <c r="L264" s="63">
        <f>IFERROR(__xludf.DUMMYFUNCTION("""COMPUTED_VALUE"""),2.09)</f>
        <v>2.09</v>
      </c>
      <c r="M264" s="64" t="str">
        <f>IFERROR(__xludf.DUMMYFUNCTION("""COMPUTED_VALUE"""),"U: [1/4 W]; W: [1:1, $11.5]")</f>
        <v>U: [1/4 W]; W: [1:1, $11.5]</v>
      </c>
      <c r="N264" s="65" t="str">
        <f>IFERROR(__xludf.DUMMYFUNCTION("""COMPUTED_VALUE"""),"")</f>
        <v/>
      </c>
      <c r="O264" s="66">
        <f>IFERROR(__xludf.DUMMYFUNCTION("""COMPUTED_VALUE"""),0.0)</f>
        <v>0</v>
      </c>
      <c r="P264" s="67">
        <f>IFERROR(__xludf.DUMMYFUNCTION("""COMPUTED_VALUE"""),44061.0)</f>
        <v>44061</v>
      </c>
      <c r="Q264" s="68">
        <f>IFERROR(__xludf.DUMMYFUNCTION("""COMPUTED_VALUE"""),250.0)</f>
        <v>250</v>
      </c>
      <c r="R264" s="85" t="str">
        <f>IFERROR(__xludf.DUMMYFUNCTION("""COMPUTED_VALUE"""),"Jefferies")</f>
        <v>Jefferies</v>
      </c>
      <c r="S264" s="64">
        <f>IFERROR(__xludf.DUMMYFUNCTION("""COMPUTED_VALUE"""),44791.0)</f>
        <v>44791</v>
      </c>
      <c r="T264" s="70">
        <f>IFERROR(__xludf.DUMMYFUNCTION("""COMPUTED_VALUE"""),0.3219178082191781)</f>
        <v>0.3219178082</v>
      </c>
      <c r="U264" s="71" t="str">
        <f>IFERROR(__xludf.DUMMYFUNCTION("""COMPUTED_VALUE"""),"https://www.sec.gov/cgi-bin/browse-edgar?CIK=1784168")</f>
        <v>https://www.sec.gov/cgi-bin/browse-edgar?CIK=1784168</v>
      </c>
      <c r="V264" s="72" t="str">
        <f>IFERROR(__xludf.DUMMYFUNCTION("""COMPUTED_VALUE"""),"E.V., Sustainability     Optionable     Serial Sponsor  ")</f>
        <v>E.V., Sustainability     Optionable     Serial Sponsor  </v>
      </c>
      <c r="W264" s="73">
        <f>IFERROR(__xludf.DUMMYFUNCTION("""COMPUTED_VALUE"""),44175.0)</f>
        <v>44175</v>
      </c>
      <c r="X264" s="79">
        <f>IFERROR(__xludf.DUMMYFUNCTION("""COMPUTED_VALUE"""),3.8)</f>
        <v>3.8</v>
      </c>
      <c r="Y264" s="80" t="str">
        <f>IFERROR(__xludf.DUMMYFUNCTION("""COMPUTED_VALUE"""),"https://www.businesswire.com/news/home/20201211005138/en/EV-Company-Electric-Last-Mile-to-List-on-Nasdaq-Through-Merger-With-Forum-Merger-III-Corporation")</f>
        <v>https://www.businesswire.com/news/home/20201211005138/en/EV-Company-Electric-Last-Mile-to-List-on-Nasdaq-Through-Merger-With-Forum-Merger-III-Corporation</v>
      </c>
      <c r="Z264" s="81" t="str">
        <f>IFERROR(__xludf.DUMMYFUNCTION("""COMPUTED_VALUE"""),"https://www.sec.gov/Archives/edgar/data/1784168/000121390020042148/ea131352ex99-2_forum3.htm")</f>
        <v>https://www.sec.gov/Archives/edgar/data/1784168/000121390020042148/ea131352ex99-2_forum3.htm</v>
      </c>
      <c r="AA264" s="60">
        <f>IFERROR(__xludf.DUMMYFUNCTION("""COMPUTED_VALUE"""),1.55E8)</f>
        <v>155000000</v>
      </c>
      <c r="AB264" s="60">
        <f>IFERROR(__xludf.DUMMYFUNCTION("""COMPUTED_VALUE"""),1.425E9)</f>
        <v>1425000000</v>
      </c>
      <c r="AC264" s="60">
        <f>IFERROR(__xludf.DUMMYFUNCTION("""COMPUTED_VALUE"""),1.196E9)</f>
        <v>1196000000</v>
      </c>
      <c r="AD264" s="73"/>
      <c r="AE264" s="73"/>
      <c r="AF264" s="76">
        <f>IFERROR(__xludf.DUMMYFUNCTION("""COMPUTED_VALUE"""),1.425E8)</f>
        <v>142500000</v>
      </c>
      <c r="AG264" s="60">
        <f>IFERROR(__xludf.DUMMYFUNCTION("""COMPUTED_VALUE"""),1.42785E9)</f>
        <v>1427850000</v>
      </c>
    </row>
    <row r="265">
      <c r="A265" s="54" t="str">
        <f>IFERROR(__xludf.DUMMYFUNCTION("""COMPUTED_VALUE"""),"FINM")</f>
        <v>FINM</v>
      </c>
      <c r="B265" s="55" t="str">
        <f>IFERROR(__xludf.DUMMYFUNCTION("""COMPUTED_VALUE"""),"Marlin Technology Corporation")</f>
        <v>Marlin Technology Corporation</v>
      </c>
      <c r="C265" s="56" t="str">
        <f>IFERROR(__xludf.DUMMYFUNCTION("""COMPUTED_VALUE"""),"Searching")</f>
        <v>Searching</v>
      </c>
      <c r="D265" s="77" t="str">
        <f>IFERROR(__xludf.DUMMYFUNCTION("""COMPUTED_VALUE"""),"Tech")</f>
        <v>Tech</v>
      </c>
      <c r="E265" s="58"/>
      <c r="F265" s="59"/>
      <c r="G265" s="60">
        <f>IFERROR(__xludf.DUMMYFUNCTION("""COMPUTED_VALUE"""),4.14E8)</f>
        <v>414000000</v>
      </c>
      <c r="H265" s="60">
        <f>IFERROR(__xludf.DUMMYFUNCTION("""COMPUTED_VALUE"""),4.02822E8)</f>
        <v>402822000</v>
      </c>
      <c r="I265" s="61">
        <f>IFERROR(__xludf.DUMMYFUNCTION("""COMPUTED_VALUE"""),9.73)</f>
        <v>9.73</v>
      </c>
      <c r="J265" s="62">
        <f>IFERROR(__xludf.DUMMYFUNCTION("""COMPUTED_VALUE"""),-0.00511)</f>
        <v>-0.00511</v>
      </c>
      <c r="K265" s="59">
        <f>IFERROR(__xludf.DUMMYFUNCTION("""COMPUTED_VALUE"""),10.0)</f>
        <v>10</v>
      </c>
      <c r="L265" s="63">
        <f>IFERROR(__xludf.DUMMYFUNCTION("""COMPUTED_VALUE"""),0.9)</f>
        <v>0.9</v>
      </c>
      <c r="M265" s="64" t="str">
        <f>IFERROR(__xludf.DUMMYFUNCTION("""COMPUTED_VALUE"""),"U: [1/3 W]; W: [1:1, $11.5]")</f>
        <v>U: [1/3 W]; W: [1:1, $11.5]</v>
      </c>
      <c r="N265" s="65" t="str">
        <f>IFERROR(__xludf.DUMMYFUNCTION("""COMPUTED_VALUE"""),"")</f>
        <v/>
      </c>
      <c r="O265" s="66">
        <f>IFERROR(__xludf.DUMMYFUNCTION("""COMPUTED_VALUE"""),0.0)</f>
        <v>0</v>
      </c>
      <c r="P265" s="67">
        <f>IFERROR(__xludf.DUMMYFUNCTION("""COMPUTED_VALUE"""),44209.0)</f>
        <v>44209</v>
      </c>
      <c r="Q265" s="68">
        <f>IFERROR(__xludf.DUMMYFUNCTION("""COMPUTED_VALUE"""),414.0)</f>
        <v>414</v>
      </c>
      <c r="R265" s="69" t="str">
        <f>IFERROR(__xludf.DUMMYFUNCTION("""COMPUTED_VALUE"""),"UBS, Jefferies")</f>
        <v>UBS, Jefferies</v>
      </c>
      <c r="S265" s="64">
        <f>IFERROR(__xludf.DUMMYFUNCTION("""COMPUTED_VALUE"""),44939.0)</f>
        <v>44939</v>
      </c>
      <c r="T265" s="70">
        <f>IFERROR(__xludf.DUMMYFUNCTION("""COMPUTED_VALUE"""),0.11917808219178082)</f>
        <v>0.1191780822</v>
      </c>
      <c r="U265" s="71" t="str">
        <f>IFERROR(__xludf.DUMMYFUNCTION("""COMPUTED_VALUE"""),"https://www.sec.gov/cgi-bin/browse-edgar?CIK=1823855")</f>
        <v>https://www.sec.gov/cgi-bin/browse-edgar?CIK=1823855</v>
      </c>
      <c r="V265" s="72" t="str">
        <f>IFERROR(__xludf.DUMMYFUNCTION("""COMPUTED_VALUE""")," Trading Below $10 (Common)           ")</f>
        <v> Trading Below $10 (Common)           </v>
      </c>
      <c r="W265" s="73"/>
      <c r="X265" s="74"/>
      <c r="Y265" s="75"/>
      <c r="Z265" s="60"/>
      <c r="AA265" s="60"/>
      <c r="AB265" s="60"/>
      <c r="AC265" s="60"/>
      <c r="AD265" s="73"/>
      <c r="AE265" s="73"/>
      <c r="AF265" s="76"/>
      <c r="AG265" s="60" t="str">
        <f>IFERROR(__xludf.DUMMYFUNCTION("""COMPUTED_VALUE"""),"")</f>
        <v/>
      </c>
    </row>
    <row r="266">
      <c r="A266" s="54" t="str">
        <f>IFERROR(__xludf.DUMMYFUNCTION("""COMPUTED_VALUE"""),"FLAC")</f>
        <v>FLAC</v>
      </c>
      <c r="B266" s="55" t="str">
        <f>IFERROR(__xludf.DUMMYFUNCTION("""COMPUTED_VALUE"""),"Frazier Lifesciences Acquisition Corp")</f>
        <v>Frazier Lifesciences Acquisition Corp</v>
      </c>
      <c r="C266" s="56" t="str">
        <f>IFERROR(__xludf.DUMMYFUNCTION("""COMPUTED_VALUE"""),"Searching")</f>
        <v>Searching</v>
      </c>
      <c r="D266" s="57" t="str">
        <f>IFERROR(__xludf.DUMMYFUNCTION("""COMPUTED_VALUE"""),"BioTech, Healthcare")</f>
        <v>BioTech, Healthcare</v>
      </c>
      <c r="E266" s="58"/>
      <c r="F266" s="59"/>
      <c r="G266" s="60">
        <f>IFERROR(__xludf.DUMMYFUNCTION("""COMPUTED_VALUE"""),1.38000851E8)</f>
        <v>138000851</v>
      </c>
      <c r="H266" s="60">
        <f>IFERROR(__xludf.DUMMYFUNCTION("""COMPUTED_VALUE"""),1.4501214E8)</f>
        <v>145012140</v>
      </c>
      <c r="I266" s="61">
        <f>IFERROR(__xludf.DUMMYFUNCTION("""COMPUTED_VALUE"""),10.14)</f>
        <v>10.14</v>
      </c>
      <c r="J266" s="62">
        <f>IFERROR(__xludf.DUMMYFUNCTION("""COMPUTED_VALUE"""),0.00996)</f>
        <v>0.00996</v>
      </c>
      <c r="K266" s="59">
        <f>IFERROR(__xludf.DUMMYFUNCTION("""COMPUTED_VALUE"""),10.26)</f>
        <v>10.26</v>
      </c>
      <c r="L266" s="63">
        <f>IFERROR(__xludf.DUMMYFUNCTION("""COMPUTED_VALUE"""),1.1)</f>
        <v>1.1</v>
      </c>
      <c r="M266" s="64" t="str">
        <f>IFERROR(__xludf.DUMMYFUNCTION("""COMPUTED_VALUE"""),"U: [1/3 W]; W: [1:1, $11.5]")</f>
        <v>U: [1/3 W]; W: [1:1, $11.5]</v>
      </c>
      <c r="N266" s="65" t="str">
        <f>IFERROR(__xludf.DUMMYFUNCTION("""COMPUTED_VALUE"""),"")</f>
        <v/>
      </c>
      <c r="O266" s="66">
        <f>IFERROR(__xludf.DUMMYFUNCTION("""COMPUTED_VALUE"""),0.0)</f>
        <v>0</v>
      </c>
      <c r="P266" s="67">
        <f>IFERROR(__xludf.DUMMYFUNCTION("""COMPUTED_VALUE"""),44174.0)</f>
        <v>44174</v>
      </c>
      <c r="Q266" s="68">
        <f>IFERROR(__xludf.DUMMYFUNCTION("""COMPUTED_VALUE"""),138.0)</f>
        <v>138</v>
      </c>
      <c r="R266" s="85" t="str">
        <f>IFERROR(__xludf.DUMMYFUNCTION("""COMPUTED_VALUE"""),"Credit Suisse")</f>
        <v>Credit Suisse</v>
      </c>
      <c r="S266" s="64">
        <f>IFERROR(__xludf.DUMMYFUNCTION("""COMPUTED_VALUE"""),44904.0)</f>
        <v>44904</v>
      </c>
      <c r="T266" s="70">
        <f>IFERROR(__xludf.DUMMYFUNCTION("""COMPUTED_VALUE"""),0.16712328767123288)</f>
        <v>0.1671232877</v>
      </c>
      <c r="U266" s="71" t="str">
        <f>IFERROR(__xludf.DUMMYFUNCTION("""COMPUTED_VALUE"""),"https://www.sec.gov/cgi-bin/browse-edgar?CIK=1828326")</f>
        <v>https://www.sec.gov/cgi-bin/browse-edgar?CIK=1828326</v>
      </c>
      <c r="V266" s="72" t="str">
        <f>IFERROR(__xludf.DUMMYFUNCTION("""COMPUTED_VALUE"""),"            ")</f>
        <v>            </v>
      </c>
      <c r="W266" s="73"/>
      <c r="X266" s="74"/>
      <c r="Y266" s="75"/>
      <c r="Z266" s="60"/>
      <c r="AA266" s="60"/>
      <c r="AB266" s="60"/>
      <c r="AC266" s="60"/>
      <c r="AD266" s="73"/>
      <c r="AE266" s="73"/>
      <c r="AF266" s="76"/>
      <c r="AG266" s="60" t="str">
        <f>IFERROR(__xludf.DUMMYFUNCTION("""COMPUTED_VALUE"""),"")</f>
        <v/>
      </c>
    </row>
    <row r="267">
      <c r="A267" s="54" t="str">
        <f>IFERROR(__xludf.DUMMYFUNCTION("""COMPUTED_VALUE"""),"FLME")</f>
        <v>FLME</v>
      </c>
      <c r="B267" s="55" t="str">
        <f>IFERROR(__xludf.DUMMYFUNCTION("""COMPUTED_VALUE"""),"Flame Acquisition Corp.")</f>
        <v>Flame Acquisition Corp.</v>
      </c>
      <c r="C267" s="56" t="str">
        <f>IFERROR(__xludf.DUMMYFUNCTION("""COMPUTED_VALUE"""),"Searching (Pre Unit Split)")</f>
        <v>Searching (Pre Unit Split)</v>
      </c>
      <c r="D267" s="57"/>
      <c r="E267" s="58"/>
      <c r="F267" s="59"/>
      <c r="G267" s="60">
        <f>IFERROR(__xludf.DUMMYFUNCTION("""COMPUTED_VALUE"""),2.875E8)</f>
        <v>287500000</v>
      </c>
      <c r="H267" s="60" t="str">
        <f>IFERROR(__xludf.DUMMYFUNCTION("""COMPUTED_VALUE""")," ")</f>
        <v> </v>
      </c>
      <c r="I267" s="61" t="str">
        <f>IFERROR(__xludf.DUMMYFUNCTION("""COMPUTED_VALUE""")," ")</f>
        <v> </v>
      </c>
      <c r="J267" s="62" t="str">
        <f>IFERROR(__xludf.DUMMYFUNCTION("""COMPUTED_VALUE""")," ")</f>
        <v> </v>
      </c>
      <c r="K267" s="59">
        <f>IFERROR(__xludf.DUMMYFUNCTION("""COMPUTED_VALUE"""),10.0016)</f>
        <v>10.0016</v>
      </c>
      <c r="L267" s="63" t="str">
        <f>IFERROR(__xludf.DUMMYFUNCTION("""COMPUTED_VALUE""")," ")</f>
        <v> </v>
      </c>
      <c r="M267" s="64" t="str">
        <f>IFERROR(__xludf.DUMMYFUNCTION("""COMPUTED_VALUE"""),"U: [1/2 W]; W: [1:1, $11.5]")</f>
        <v>U: [1/2 W]; W: [1:1, $11.5]</v>
      </c>
      <c r="N267" s="65">
        <f>IFERROR(__xludf.DUMMYFUNCTION("""COMPUTED_VALUE"""),44303.0)</f>
        <v>44303</v>
      </c>
      <c r="O267" s="66" t="str">
        <f>IFERROR(__xludf.DUMMYFUNCTION("""COMPUTED_VALUE"""),"")</f>
        <v/>
      </c>
      <c r="P267" s="67">
        <f>IFERROR(__xludf.DUMMYFUNCTION("""COMPUTED_VALUE"""),44251.0)</f>
        <v>44251</v>
      </c>
      <c r="Q267" s="68">
        <f>IFERROR(__xludf.DUMMYFUNCTION("""COMPUTED_VALUE"""),287.5)</f>
        <v>287.5</v>
      </c>
      <c r="R267" s="69" t="str">
        <f>IFERROR(__xludf.DUMMYFUNCTION("""COMPUTED_VALUE"""),"Cowen, Intrepid Partners")</f>
        <v>Cowen, Intrepid Partners</v>
      </c>
      <c r="S267" s="64">
        <f>IFERROR(__xludf.DUMMYFUNCTION("""COMPUTED_VALUE"""),44981.0)</f>
        <v>44981</v>
      </c>
      <c r="T267" s="70">
        <f>IFERROR(__xludf.DUMMYFUNCTION("""COMPUTED_VALUE"""),0.06164383561643835)</f>
        <v>0.06164383562</v>
      </c>
      <c r="U267" s="71" t="str">
        <f>IFERROR(__xludf.DUMMYFUNCTION("""COMPUTED_VALUE"""),"https://www.sec.gov/cgi-bin/browse-edgar?CIK=1831481")</f>
        <v>https://www.sec.gov/cgi-bin/browse-edgar?CIK=1831481</v>
      </c>
      <c r="V267" s="72" t="str">
        <f>IFERROR(__xludf.DUMMYFUNCTION("""COMPUTED_VALUE"""),"            ")</f>
        <v>            </v>
      </c>
      <c r="W267" s="73"/>
      <c r="X267" s="74"/>
      <c r="Y267" s="75"/>
      <c r="Z267" s="60"/>
      <c r="AA267" s="60"/>
      <c r="AB267" s="60"/>
      <c r="AC267" s="60"/>
      <c r="AD267" s="73"/>
      <c r="AE267" s="73"/>
      <c r="AF267" s="76"/>
      <c r="AG267" s="60"/>
    </row>
    <row r="268">
      <c r="A268" s="54" t="str">
        <f>IFERROR(__xludf.DUMMYFUNCTION("""COMPUTED_VALUE"""),"FLSH")</f>
        <v>FLSH</v>
      </c>
      <c r="B268" s="55" t="str">
        <f>IFERROR(__xludf.DUMMYFUNCTION("""COMPUTED_VALUE"""),"VIDA FLaSH Acquisitions")</f>
        <v>VIDA FLaSH Acquisitions</v>
      </c>
      <c r="C268" s="56" t="str">
        <f>IFERROR(__xludf.DUMMYFUNCTION("""COMPUTED_VALUE"""),"Pre IPO")</f>
        <v>Pre IPO</v>
      </c>
      <c r="D268" s="77" t="str">
        <f>IFERROR(__xludf.DUMMYFUNCTION("""COMPUTED_VALUE"""),"Healthcare")</f>
        <v>Healthcare</v>
      </c>
      <c r="E268" s="58"/>
      <c r="F268" s="59" t="str">
        <f>IFERROR(__xludf.DUMMYFUNCTION("""COMPUTED_VALUE"""),"Dr. Frank Litvack (Fmr Chairman/CEO, Conor Medsystems)")</f>
        <v>Dr. Frank Litvack (Fmr Chairman/CEO, Conor Medsystems)</v>
      </c>
      <c r="G268" s="60">
        <f>IFERROR(__xludf.DUMMYFUNCTION("""COMPUTED_VALUE"""),1.75E8)</f>
        <v>175000000</v>
      </c>
      <c r="H268" s="60" t="str">
        <f>IFERROR(__xludf.DUMMYFUNCTION("""COMPUTED_VALUE""")," ")</f>
        <v> </v>
      </c>
      <c r="I268" s="61" t="str">
        <f>IFERROR(__xludf.DUMMYFUNCTION("""COMPUTED_VALUE""")," ")</f>
        <v> </v>
      </c>
      <c r="J268" s="62" t="str">
        <f>IFERROR(__xludf.DUMMYFUNCTION("""COMPUTED_VALUE""")," ")</f>
        <v> </v>
      </c>
      <c r="K268" s="59" t="str">
        <f>IFERROR(__xludf.DUMMYFUNCTION("""COMPUTED_VALUE""")," ")</f>
        <v> </v>
      </c>
      <c r="L268" s="63" t="str">
        <f>IFERROR(__xludf.DUMMYFUNCTION("""COMPUTED_VALUE""")," ")</f>
        <v> </v>
      </c>
      <c r="M268" s="64" t="str">
        <f>IFERROR(__xludf.DUMMYFUNCTION("""COMPUTED_VALUE"""),"U: [1/4 W]; W: [1:1, $11.5]")</f>
        <v>U: [1/4 W]; W: [1:1, $11.5]</v>
      </c>
      <c r="N268" s="65" t="str">
        <f>IFERROR(__xludf.DUMMYFUNCTION("""COMPUTED_VALUE"""),"")</f>
        <v/>
      </c>
      <c r="O268" s="66" t="str">
        <f>IFERROR(__xludf.DUMMYFUNCTION("""COMPUTED_VALUE"""),"")</f>
        <v/>
      </c>
      <c r="P268" s="67"/>
      <c r="Q268" s="68">
        <f>IFERROR(__xludf.DUMMYFUNCTION("""COMPUTED_VALUE"""),175.0)</f>
        <v>175</v>
      </c>
      <c r="R268" s="85" t="str">
        <f>IFERROR(__xludf.DUMMYFUNCTION("""COMPUTED_VALUE"""),"Goldman Sachs &amp; Co. LLC")</f>
        <v>Goldman Sachs &amp; Co. LLC</v>
      </c>
      <c r="S268" s="64">
        <f>IFERROR(__xludf.DUMMYFUNCTION("""COMPUTED_VALUE"""),45086.0)</f>
        <v>45086</v>
      </c>
      <c r="T268" s="70" t="str">
        <f>IFERROR(__xludf.DUMMYFUNCTION("""COMPUTED_VALUE"""),"")</f>
        <v/>
      </c>
      <c r="U268" s="71" t="str">
        <f>IFERROR(__xludf.DUMMYFUNCTION("""COMPUTED_VALUE"""),"https://www.sec.gov/cgi-bin/browse-edgar?CIK=1844969")</f>
        <v>https://www.sec.gov/cgi-bin/browse-edgar?CIK=1844969</v>
      </c>
      <c r="V268" s="72" t="str">
        <f>IFERROR(__xludf.DUMMYFUNCTION("""COMPUTED_VALUE"""),"           Top Tier UW ")</f>
        <v>           Top Tier UW </v>
      </c>
      <c r="W268" s="73"/>
      <c r="X268" s="74"/>
      <c r="Y268" s="75"/>
      <c r="Z268" s="60"/>
      <c r="AA268" s="60"/>
      <c r="AB268" s="60"/>
      <c r="AC268" s="60"/>
      <c r="AD268" s="73"/>
      <c r="AE268" s="73"/>
      <c r="AF268" s="76"/>
      <c r="AG268" s="60"/>
    </row>
    <row r="269">
      <c r="A269" s="54" t="str">
        <f>IFERROR(__xludf.DUMMYFUNCTION("""COMPUTED_VALUE"""),"FLYA")</f>
        <v>FLYA</v>
      </c>
      <c r="B269" s="55" t="str">
        <f>IFERROR(__xludf.DUMMYFUNCTION("""COMPUTED_VALUE"""),"Soar Technology Acquisition Corp.")</f>
        <v>Soar Technology Acquisition Corp.</v>
      </c>
      <c r="C269" s="56" t="str">
        <f>IFERROR(__xludf.DUMMYFUNCTION("""COMPUTED_VALUE"""),"Pre IPO")</f>
        <v>Pre IPO</v>
      </c>
      <c r="D269" s="57" t="str">
        <f>IFERROR(__xludf.DUMMYFUNCTION("""COMPUTED_VALUE"""),"Tech")</f>
        <v>Tech</v>
      </c>
      <c r="E269" s="58"/>
      <c r="F269" s="59" t="str">
        <f>IFERROR(__xludf.DUMMYFUNCTION("""COMPUTED_VALUE"""),"Joe Poulin (Fmr CEO, Luxury Retreats International; Director, WheelsUp), Peter Kern (CEO/Vice Chairman, Expedia Group), Patrick Pichette (Chairman, Twitter and Fmr CFO, Google)")</f>
        <v>Joe Poulin (Fmr CEO, Luxury Retreats International; Director, WheelsUp), Peter Kern (CEO/Vice Chairman, Expedia Group), Patrick Pichette (Chairman, Twitter and Fmr CFO, Google)</v>
      </c>
      <c r="G269" s="60">
        <f>IFERROR(__xludf.DUMMYFUNCTION("""COMPUTED_VALUE"""),2.5E8)</f>
        <v>250000000</v>
      </c>
      <c r="H269" s="60" t="str">
        <f>IFERROR(__xludf.DUMMYFUNCTION("""COMPUTED_VALUE""")," ")</f>
        <v> </v>
      </c>
      <c r="I269" s="61" t="str">
        <f>IFERROR(__xludf.DUMMYFUNCTION("""COMPUTED_VALUE""")," ")</f>
        <v> </v>
      </c>
      <c r="J269" s="62" t="str">
        <f>IFERROR(__xludf.DUMMYFUNCTION("""COMPUTED_VALUE""")," ")</f>
        <v> </v>
      </c>
      <c r="K269" s="59" t="str">
        <f>IFERROR(__xludf.DUMMYFUNCTION("""COMPUTED_VALUE""")," ")</f>
        <v> </v>
      </c>
      <c r="L269" s="63" t="str">
        <f>IFERROR(__xludf.DUMMYFUNCTION("""COMPUTED_VALUE""")," ")</f>
        <v> </v>
      </c>
      <c r="M269" s="64" t="str">
        <f>IFERROR(__xludf.DUMMYFUNCTION("""COMPUTED_VALUE"""),"U: [1/3 W]; W: [1:1, $11.5]")</f>
        <v>U: [1/3 W]; W: [1:1, $11.5]</v>
      </c>
      <c r="N269" s="65" t="str">
        <f>IFERROR(__xludf.DUMMYFUNCTION("""COMPUTED_VALUE"""),"")</f>
        <v/>
      </c>
      <c r="O269" s="66" t="str">
        <f>IFERROR(__xludf.DUMMYFUNCTION("""COMPUTED_VALUE"""),"")</f>
        <v/>
      </c>
      <c r="P269" s="67"/>
      <c r="Q269" s="68">
        <f>IFERROR(__xludf.DUMMYFUNCTION("""COMPUTED_VALUE"""),250.0)</f>
        <v>250</v>
      </c>
      <c r="R269" s="85" t="str">
        <f>IFERROR(__xludf.DUMMYFUNCTION("""COMPUTED_VALUE"""),"J.P. Morgan, RBC Capital Markets")</f>
        <v>J.P. Morgan, RBC Capital Markets</v>
      </c>
      <c r="S269" s="64">
        <f>IFERROR(__xludf.DUMMYFUNCTION("""COMPUTED_VALUE"""),45086.0)</f>
        <v>45086</v>
      </c>
      <c r="T269" s="70" t="str">
        <f>IFERROR(__xludf.DUMMYFUNCTION("""COMPUTED_VALUE"""),"")</f>
        <v/>
      </c>
      <c r="U269" s="71" t="str">
        <f>IFERROR(__xludf.DUMMYFUNCTION("""COMPUTED_VALUE"""),"https://www.sec.gov/cgi-bin/browse-edgar?CIK=1844650")</f>
        <v>https://www.sec.gov/cgi-bin/browse-edgar?CIK=1844650</v>
      </c>
      <c r="V269" s="72" t="str">
        <f>IFERROR(__xludf.DUMMYFUNCTION("""COMPUTED_VALUE"""),"         Well-known Sponsor   ")</f>
        <v>         Well-known Sponsor   </v>
      </c>
      <c r="W269" s="73"/>
      <c r="X269" s="74"/>
      <c r="Y269" s="75"/>
      <c r="Z269" s="60"/>
      <c r="AA269" s="60"/>
      <c r="AB269" s="60"/>
      <c r="AC269" s="60"/>
      <c r="AD269" s="73"/>
      <c r="AE269" s="73"/>
      <c r="AF269" s="76"/>
      <c r="AG269" s="60"/>
    </row>
    <row r="270">
      <c r="A270" s="54" t="str">
        <f>IFERROR(__xludf.DUMMYFUNCTION("""COMPUTED_VALUE"""),"FMAC")</f>
        <v>FMAC</v>
      </c>
      <c r="B270" s="55" t="str">
        <f>IFERROR(__xludf.DUMMYFUNCTION("""COMPUTED_VALUE"""),"FirstMark Horizon Acquisition Corp.
")</f>
        <v>FirstMark Horizon Acquisition Corp.
</v>
      </c>
      <c r="C270" s="56" t="str">
        <f>IFERROR(__xludf.DUMMYFUNCTION("""COMPUTED_VALUE"""),"Searching")</f>
        <v>Searching</v>
      </c>
      <c r="D270" s="57" t="str">
        <f>IFERROR(__xludf.DUMMYFUNCTION("""COMPUTED_VALUE"""),"Tech")</f>
        <v>Tech</v>
      </c>
      <c r="E270" s="58"/>
      <c r="F270" s="59" t="str">
        <f>IFERROR(__xludf.DUMMYFUNCTION("""COMPUTED_VALUE"""),"Richard Heitzmann (Founder, FirstMark), Jason Robbins (CEO, Draft Kings), Luis Ubinas (Fmr Pres, Ford Foundation; Director, Electronic Arts)")</f>
        <v>Richard Heitzmann (Founder, FirstMark), Jason Robbins (CEO, Draft Kings), Luis Ubinas (Fmr Pres, Ford Foundation; Director, Electronic Arts)</v>
      </c>
      <c r="G270" s="60">
        <f>IFERROR(__xludf.DUMMYFUNCTION("""COMPUTED_VALUE"""),4.14E8)</f>
        <v>414000000</v>
      </c>
      <c r="H270" s="60">
        <f>IFERROR(__xludf.DUMMYFUNCTION("""COMPUTED_VALUE"""),4.18554E8)</f>
        <v>418554000</v>
      </c>
      <c r="I270" s="61">
        <f>IFERROR(__xludf.DUMMYFUNCTION("""COMPUTED_VALUE"""),10.11)</f>
        <v>10.11</v>
      </c>
      <c r="J270" s="62">
        <f>IFERROR(__xludf.DUMMYFUNCTION("""COMPUTED_VALUE"""),0.00497)</f>
        <v>0.00497</v>
      </c>
      <c r="K270" s="59">
        <f>IFERROR(__xludf.DUMMYFUNCTION("""COMPUTED_VALUE"""),10.41)</f>
        <v>10.41</v>
      </c>
      <c r="L270" s="63">
        <f>IFERROR(__xludf.DUMMYFUNCTION("""COMPUTED_VALUE"""),1.77)</f>
        <v>1.77</v>
      </c>
      <c r="M270" s="64" t="str">
        <f>IFERROR(__xludf.DUMMYFUNCTION("""COMPUTED_VALUE"""),"U: [1/3 W]; W: [1:1, $11.5]")</f>
        <v>U: [1/3 W]; W: [1:1, $11.5]</v>
      </c>
      <c r="N270" s="65" t="str">
        <f>IFERROR(__xludf.DUMMYFUNCTION("""COMPUTED_VALUE"""),"")</f>
        <v/>
      </c>
      <c r="O270" s="66">
        <f>IFERROR(__xludf.DUMMYFUNCTION("""COMPUTED_VALUE"""),0.0)</f>
        <v>0</v>
      </c>
      <c r="P270" s="67">
        <f>IFERROR(__xludf.DUMMYFUNCTION("""COMPUTED_VALUE"""),44109.0)</f>
        <v>44109</v>
      </c>
      <c r="Q270" s="68">
        <f>IFERROR(__xludf.DUMMYFUNCTION("""COMPUTED_VALUE"""),414.0)</f>
        <v>414</v>
      </c>
      <c r="R270" s="85" t="str">
        <f>IFERROR(__xludf.DUMMYFUNCTION("""COMPUTED_VALUE"""),"Credit Suisse")</f>
        <v>Credit Suisse</v>
      </c>
      <c r="S270" s="64">
        <f>IFERROR(__xludf.DUMMYFUNCTION("""COMPUTED_VALUE"""),44839.0)</f>
        <v>44839</v>
      </c>
      <c r="T270" s="70">
        <f>IFERROR(__xludf.DUMMYFUNCTION("""COMPUTED_VALUE"""),0.25616438356164384)</f>
        <v>0.2561643836</v>
      </c>
      <c r="U270" s="71" t="str">
        <f>IFERROR(__xludf.DUMMYFUNCTION("""COMPUTED_VALUE"""),"https://www.sec.gov/cgi-bin/browse-edgar?CIK=1822219")</f>
        <v>https://www.sec.gov/cgi-bin/browse-edgar?CIK=1822219</v>
      </c>
      <c r="V270" s="72" t="str">
        <f>IFERROR(__xludf.DUMMYFUNCTION("""COMPUTED_VALUE"""),"Venture Capital     Optionable    Well-known Sponsor   ")</f>
        <v>Venture Capital     Optionable    Well-known Sponsor   </v>
      </c>
      <c r="W270" s="73"/>
      <c r="X270" s="74"/>
      <c r="Y270" s="75"/>
      <c r="Z270" s="60"/>
      <c r="AA270" s="60"/>
      <c r="AB270" s="60"/>
      <c r="AC270" s="60"/>
      <c r="AD270" s="73"/>
      <c r="AE270" s="73"/>
      <c r="AF270" s="76"/>
      <c r="AG270" s="60" t="str">
        <f>IFERROR(__xludf.DUMMYFUNCTION("""COMPUTED_VALUE"""),"")</f>
        <v/>
      </c>
    </row>
    <row r="271">
      <c r="A271" s="54" t="str">
        <f>IFERROR(__xludf.DUMMYFUNCTION("""COMPUTED_VALUE"""),"FMIV")</f>
        <v>FMIV</v>
      </c>
      <c r="B271" s="55" t="str">
        <f>IFERROR(__xludf.DUMMYFUNCTION("""COMPUTED_VALUE"""),"Forum Merger IV Corp")</f>
        <v>Forum Merger IV Corp</v>
      </c>
      <c r="C271" s="56" t="str">
        <f>IFERROR(__xludf.DUMMYFUNCTION("""COMPUTED_VALUE"""),"Searching (Pre Unit Split)")</f>
        <v>Searching (Pre Unit Split)</v>
      </c>
      <c r="D271" s="57"/>
      <c r="E271" s="58"/>
      <c r="F271" s="59" t="str">
        <f>IFERROR(__xludf.DUMMYFUNCTION("""COMPUTED_VALUE"""),"Marshall Kiev and David Boris")</f>
        <v>Marshall Kiev and David Boris</v>
      </c>
      <c r="G271" s="60">
        <f>IFERROR(__xludf.DUMMYFUNCTION("""COMPUTED_VALUE"""),3.0E8)</f>
        <v>300000000</v>
      </c>
      <c r="H271" s="60" t="str">
        <f>IFERROR(__xludf.DUMMYFUNCTION("""COMPUTED_VALUE""")," ")</f>
        <v> </v>
      </c>
      <c r="I271" s="61" t="str">
        <f>IFERROR(__xludf.DUMMYFUNCTION("""COMPUTED_VALUE""")," ")</f>
        <v> </v>
      </c>
      <c r="J271" s="62" t="str">
        <f>IFERROR(__xludf.DUMMYFUNCTION("""COMPUTED_VALUE""")," ")</f>
        <v> </v>
      </c>
      <c r="K271" s="59">
        <f>IFERROR(__xludf.DUMMYFUNCTION("""COMPUTED_VALUE"""),10.06)</f>
        <v>10.06</v>
      </c>
      <c r="L271" s="63" t="str">
        <f>IFERROR(__xludf.DUMMYFUNCTION("""COMPUTED_VALUE""")," ")</f>
        <v> </v>
      </c>
      <c r="M271" s="64" t="str">
        <f>IFERROR(__xludf.DUMMYFUNCTION("""COMPUTED_VALUE"""),"U: [1/4 W]; W: [1:1, $11.5]")</f>
        <v>U: [1/4 W]; W: [1:1, $11.5]</v>
      </c>
      <c r="N271" s="65">
        <f>IFERROR(__xludf.DUMMYFUNCTION("""COMPUTED_VALUE"""),44324.0)</f>
        <v>44324</v>
      </c>
      <c r="O271" s="66" t="str">
        <f>IFERROR(__xludf.DUMMYFUNCTION("""COMPUTED_VALUE"""),"")</f>
        <v/>
      </c>
      <c r="P271" s="67">
        <f>IFERROR(__xludf.DUMMYFUNCTION("""COMPUTED_VALUE"""),44272.0)</f>
        <v>44272</v>
      </c>
      <c r="Q271" s="68">
        <f>IFERROR(__xludf.DUMMYFUNCTION("""COMPUTED_VALUE"""),300.0)</f>
        <v>300</v>
      </c>
      <c r="R271" s="85" t="str">
        <f>IFERROR(__xludf.DUMMYFUNCTION("""COMPUTED_VALUE"""),"Jefferies")</f>
        <v>Jefferies</v>
      </c>
      <c r="S271" s="64">
        <f>IFERROR(__xludf.DUMMYFUNCTION("""COMPUTED_VALUE"""),45002.0)</f>
        <v>45002</v>
      </c>
      <c r="T271" s="70">
        <f>IFERROR(__xludf.DUMMYFUNCTION("""COMPUTED_VALUE"""),0.03287671232876712)</f>
        <v>0.03287671233</v>
      </c>
      <c r="U271" s="71" t="str">
        <f>IFERROR(__xludf.DUMMYFUNCTION("""COMPUTED_VALUE"""),"https://www.sec.gov/cgi-bin/browse-edgar?CIK=1842916")</f>
        <v>https://www.sec.gov/cgi-bin/browse-edgar?CIK=1842916</v>
      </c>
      <c r="V271" s="72" t="str">
        <f>IFERROR(__xludf.DUMMYFUNCTION("""COMPUTED_VALUE"""),"          Serial Sponsor  ")</f>
        <v>          Serial Sponsor  </v>
      </c>
      <c r="W271" s="73"/>
      <c r="X271" s="74"/>
      <c r="Y271" s="75"/>
      <c r="Z271" s="60"/>
      <c r="AA271" s="60"/>
      <c r="AB271" s="60"/>
      <c r="AC271" s="60"/>
      <c r="AD271" s="73"/>
      <c r="AE271" s="73"/>
      <c r="AF271" s="76"/>
      <c r="AG271" s="60"/>
    </row>
    <row r="272">
      <c r="A272" s="54" t="str">
        <f>IFERROR(__xludf.DUMMYFUNCTION("""COMPUTED_VALUE"""),"FORE")</f>
        <v>FORE</v>
      </c>
      <c r="B272" s="55" t="str">
        <f>IFERROR(__xludf.DUMMYFUNCTION("""COMPUTED_VALUE"""),"Foresight Acquisition Corp.")</f>
        <v>Foresight Acquisition Corp.</v>
      </c>
      <c r="C272" s="56" t="str">
        <f>IFERROR(__xludf.DUMMYFUNCTION("""COMPUTED_VALUE"""),"Searching")</f>
        <v>Searching</v>
      </c>
      <c r="D272" s="57" t="str">
        <f>IFERROR(__xludf.DUMMYFUNCTION("""COMPUTED_VALUE"""),"Consumer Tech, Healthcare Tech")</f>
        <v>Consumer Tech, Healthcare Tech</v>
      </c>
      <c r="E272" s="58"/>
      <c r="F272" s="59" t="str">
        <f>IFERROR(__xludf.DUMMYFUNCTION("""COMPUTED_VALUE"""),"Greg Wasson (Fmr CEO, Walgreens)")</f>
        <v>Greg Wasson (Fmr CEO, Walgreens)</v>
      </c>
      <c r="G272" s="60">
        <f>IFERROR(__xludf.DUMMYFUNCTION("""COMPUTED_VALUE"""),3.1625E8)</f>
        <v>316250000</v>
      </c>
      <c r="H272" s="60">
        <f>IFERROR(__xludf.DUMMYFUNCTION("""COMPUTED_VALUE"""),3.0897625E8)</f>
        <v>308976250</v>
      </c>
      <c r="I272" s="61">
        <f>IFERROR(__xludf.DUMMYFUNCTION("""COMPUTED_VALUE"""),9.77)</f>
        <v>9.77</v>
      </c>
      <c r="J272" s="62">
        <f>IFERROR(__xludf.DUMMYFUNCTION("""COMPUTED_VALUE"""),0.00722)</f>
        <v>0.00722</v>
      </c>
      <c r="K272" s="59">
        <f>IFERROR(__xludf.DUMMYFUNCTION("""COMPUTED_VALUE"""),9.95)</f>
        <v>9.95</v>
      </c>
      <c r="L272" s="63">
        <f>IFERROR(__xludf.DUMMYFUNCTION("""COMPUTED_VALUE"""),0.88)</f>
        <v>0.88</v>
      </c>
      <c r="M272" s="64" t="str">
        <f>IFERROR(__xludf.DUMMYFUNCTION("""COMPUTED_VALUE"""),"U: [1/3 W]; W: [1:1, $11.5]")</f>
        <v>U: [1/3 W]; W: [1:1, $11.5]</v>
      </c>
      <c r="N272" s="65">
        <f>IFERROR(__xludf.DUMMYFUNCTION("""COMPUTED_VALUE"""),44291.0)</f>
        <v>44291</v>
      </c>
      <c r="O272" s="66">
        <f>IFERROR(__xludf.DUMMYFUNCTION("""COMPUTED_VALUE"""),0.0)</f>
        <v>0</v>
      </c>
      <c r="P272" s="67">
        <f>IFERROR(__xludf.DUMMYFUNCTION("""COMPUTED_VALUE"""),44236.0)</f>
        <v>44236</v>
      </c>
      <c r="Q272" s="68">
        <f>IFERROR(__xludf.DUMMYFUNCTION("""COMPUTED_VALUE"""),316.25)</f>
        <v>316.25</v>
      </c>
      <c r="R272" s="85" t="str">
        <f>IFERROR(__xludf.DUMMYFUNCTION("""COMPUTED_VALUE"""),"Cowen, William Blair")</f>
        <v>Cowen, William Blair</v>
      </c>
      <c r="S272" s="64">
        <f>IFERROR(__xludf.DUMMYFUNCTION("""COMPUTED_VALUE"""),44966.0)</f>
        <v>44966</v>
      </c>
      <c r="T272" s="70">
        <f>IFERROR(__xludf.DUMMYFUNCTION("""COMPUTED_VALUE"""),0.0821917808219178)</f>
        <v>0.08219178082</v>
      </c>
      <c r="U272" s="71" t="str">
        <f>IFERROR(__xludf.DUMMYFUNCTION("""COMPUTED_VALUE"""),"https://www.sec.gov/cgi-bin/browse-edgar?CIK=1832511")</f>
        <v>https://www.sec.gov/cgi-bin/browse-edgar?CIK=1832511</v>
      </c>
      <c r="V272" s="72" t="str">
        <f>IFERROR(__xludf.DUMMYFUNCTION("""COMPUTED_VALUE""")," Trading Below $10 (Common)           ")</f>
        <v> Trading Below $10 (Common)           </v>
      </c>
      <c r="W272" s="73"/>
      <c r="X272" s="74"/>
      <c r="Y272" s="75"/>
      <c r="Z272" s="60"/>
      <c r="AA272" s="60"/>
      <c r="AB272" s="60"/>
      <c r="AC272" s="60"/>
      <c r="AD272" s="73"/>
      <c r="AE272" s="73"/>
      <c r="AF272" s="76"/>
      <c r="AG272" s="60" t="str">
        <f>IFERROR(__xludf.DUMMYFUNCTION("""COMPUTED_VALUE"""),"")</f>
        <v/>
      </c>
    </row>
    <row r="273">
      <c r="A273" s="54" t="str">
        <f>IFERROR(__xludf.DUMMYFUNCTION("""COMPUTED_VALUE"""),"FOXW")</f>
        <v>FOXW</v>
      </c>
      <c r="B273" s="55" t="str">
        <f>IFERROR(__xludf.DUMMYFUNCTION("""COMPUTED_VALUE"""),"FoxWayne Enterprises Acquisition")</f>
        <v>FoxWayne Enterprises Acquisition</v>
      </c>
      <c r="C273" s="56" t="str">
        <f>IFERROR(__xludf.DUMMYFUNCTION("""COMPUTED_VALUE"""),"Searching")</f>
        <v>Searching</v>
      </c>
      <c r="D273" s="57" t="str">
        <f>IFERROR(__xludf.DUMMYFUNCTION("""COMPUTED_VALUE"""),"BioTech, Telemedicine, Healthcare")</f>
        <v>BioTech, Telemedicine, Healthcare</v>
      </c>
      <c r="E273" s="58"/>
      <c r="F273" s="59"/>
      <c r="G273" s="60">
        <f>IFERROR(__xludf.DUMMYFUNCTION("""COMPUTED_VALUE"""),5.75E7)</f>
        <v>57500000</v>
      </c>
      <c r="H273" s="60"/>
      <c r="I273" s="61">
        <f>IFERROR(__xludf.DUMMYFUNCTION("""COMPUTED_VALUE"""),9.99)</f>
        <v>9.99</v>
      </c>
      <c r="J273" s="62">
        <f>IFERROR(__xludf.DUMMYFUNCTION("""COMPUTED_VALUE"""),-0.001)</f>
        <v>-0.001</v>
      </c>
      <c r="K273" s="59">
        <f>IFERROR(__xludf.DUMMYFUNCTION("""COMPUTED_VALUE"""),10.2957)</f>
        <v>10.2957</v>
      </c>
      <c r="L273" s="63">
        <f>IFERROR(__xludf.DUMMYFUNCTION("""COMPUTED_VALUE"""),0.5)</f>
        <v>0.5</v>
      </c>
      <c r="M273" s="64" t="str">
        <f>IFERROR(__xludf.DUMMYFUNCTION("""COMPUTED_VALUE"""),"U: [1 W]; W: [1:1, $11.5]")</f>
        <v>U: [1 W]; W: [1:1, $11.5]</v>
      </c>
      <c r="N273" s="65">
        <f>IFERROR(__xludf.DUMMYFUNCTION("""COMPUTED_VALUE"""),44253.0)</f>
        <v>44253</v>
      </c>
      <c r="O273" s="66">
        <f>IFERROR(__xludf.DUMMYFUNCTION("""COMPUTED_VALUE"""),0.0)</f>
        <v>0</v>
      </c>
      <c r="P273" s="67">
        <f>IFERROR(__xludf.DUMMYFUNCTION("""COMPUTED_VALUE"""),44215.0)</f>
        <v>44215</v>
      </c>
      <c r="Q273" s="68">
        <f>IFERROR(__xludf.DUMMYFUNCTION("""COMPUTED_VALUE"""),57.5)</f>
        <v>57.5</v>
      </c>
      <c r="R273" s="85" t="str">
        <f>IFERROR(__xludf.DUMMYFUNCTION("""COMPUTED_VALUE"""),"Kingswood Capital Markets")</f>
        <v>Kingswood Capital Markets</v>
      </c>
      <c r="S273" s="64">
        <f>IFERROR(__xludf.DUMMYFUNCTION("""COMPUTED_VALUE"""),44945.0)</f>
        <v>44945</v>
      </c>
      <c r="T273" s="70">
        <f>IFERROR(__xludf.DUMMYFUNCTION("""COMPUTED_VALUE"""),0.11095890410958904)</f>
        <v>0.1109589041</v>
      </c>
      <c r="U273" s="71" t="str">
        <f>IFERROR(__xludf.DUMMYFUNCTION("""COMPUTED_VALUE"""),"https://www.sec.gov/cgi-bin/browse-edgar?CIK=1829999")</f>
        <v>https://www.sec.gov/cgi-bin/browse-edgar?CIK=1829999</v>
      </c>
      <c r="V273" s="72" t="str">
        <f>IFERROR(__xludf.DUMMYFUNCTION("""COMPUTED_VALUE""")," Trading Below $10 (Common)           ")</f>
        <v> Trading Below $10 (Common)           </v>
      </c>
      <c r="W273" s="73"/>
      <c r="X273" s="74"/>
      <c r="Y273" s="75"/>
      <c r="Z273" s="60"/>
      <c r="AA273" s="60"/>
      <c r="AB273" s="60"/>
      <c r="AC273" s="60"/>
      <c r="AD273" s="73"/>
      <c r="AE273" s="73"/>
      <c r="AF273" s="76"/>
      <c r="AG273" s="60" t="str">
        <f>IFERROR(__xludf.DUMMYFUNCTION("""COMPUTED_VALUE"""),"")</f>
        <v/>
      </c>
    </row>
    <row r="274">
      <c r="A274" s="54" t="str">
        <f>IFERROR(__xludf.DUMMYFUNCTION("""COMPUTED_VALUE"""),"FPAC")</f>
        <v>FPAC</v>
      </c>
      <c r="B274" s="55" t="str">
        <f>IFERROR(__xludf.DUMMYFUNCTION("""COMPUTED_VALUE"""),"Far Peak Acquisition Corporation")</f>
        <v>Far Peak Acquisition Corporation</v>
      </c>
      <c r="C274" s="56" t="str">
        <f>IFERROR(__xludf.DUMMYFUNCTION("""COMPUTED_VALUE"""),"Searching")</f>
        <v>Searching</v>
      </c>
      <c r="D274" s="57" t="str">
        <f>IFERROR(__xludf.DUMMYFUNCTION("""COMPUTED_VALUE"""),"Fintech, Financial Services")</f>
        <v>Fintech, Financial Services</v>
      </c>
      <c r="E274" s="58"/>
      <c r="F274" s="59" t="str">
        <f>IFERROR(__xludf.DUMMYFUNCTION("""COMPUTED_VALUE"""),"Thomas Farley (Chairman, Global Blue; Fmr President, NYSE)")</f>
        <v>Thomas Farley (Chairman, Global Blue; Fmr President, NYSE)</v>
      </c>
      <c r="G274" s="60">
        <f>IFERROR(__xludf.DUMMYFUNCTION("""COMPUTED_VALUE"""),5.99976631E8)</f>
        <v>599976631</v>
      </c>
      <c r="H274" s="60">
        <f>IFERROR(__xludf.DUMMYFUNCTION("""COMPUTED_VALUE"""),5.964E8)</f>
        <v>596400000</v>
      </c>
      <c r="I274" s="61">
        <f>IFERROR(__xludf.DUMMYFUNCTION("""COMPUTED_VALUE"""),9.94)</f>
        <v>9.94</v>
      </c>
      <c r="J274" s="62">
        <f>IFERROR(__xludf.DUMMYFUNCTION("""COMPUTED_VALUE"""),0.00607)</f>
        <v>0.00607</v>
      </c>
      <c r="K274" s="59">
        <f>IFERROR(__xludf.DUMMYFUNCTION("""COMPUTED_VALUE"""),10.3)</f>
        <v>10.3</v>
      </c>
      <c r="L274" s="63">
        <f>IFERROR(__xludf.DUMMYFUNCTION("""COMPUTED_VALUE"""),1.14)</f>
        <v>1.14</v>
      </c>
      <c r="M274" s="64" t="str">
        <f>IFERROR(__xludf.DUMMYFUNCTION("""COMPUTED_VALUE"""),"U: [1/3 W]; W: [1:1, $11.5]")</f>
        <v>U: [1/3 W]; W: [1:1, $11.5]</v>
      </c>
      <c r="N274" s="65" t="str">
        <f>IFERROR(__xludf.DUMMYFUNCTION("""COMPUTED_VALUE"""),"")</f>
        <v/>
      </c>
      <c r="O274" s="66">
        <f>IFERROR(__xludf.DUMMYFUNCTION("""COMPUTED_VALUE"""),0.0)</f>
        <v>0</v>
      </c>
      <c r="P274" s="67">
        <f>IFERROR(__xludf.DUMMYFUNCTION("""COMPUTED_VALUE"""),44168.0)</f>
        <v>44168</v>
      </c>
      <c r="Q274" s="68">
        <f>IFERROR(__xludf.DUMMYFUNCTION("""COMPUTED_VALUE"""),600.0)</f>
        <v>600</v>
      </c>
      <c r="R274" s="85" t="str">
        <f>IFERROR(__xludf.DUMMYFUNCTION("""COMPUTED_VALUE"""),"Wells Fargo Securities")</f>
        <v>Wells Fargo Securities</v>
      </c>
      <c r="S274" s="64">
        <f>IFERROR(__xludf.DUMMYFUNCTION("""COMPUTED_VALUE"""),44898.0)</f>
        <v>44898</v>
      </c>
      <c r="T274" s="70">
        <f>IFERROR(__xludf.DUMMYFUNCTION("""COMPUTED_VALUE"""),0.17534246575342466)</f>
        <v>0.1753424658</v>
      </c>
      <c r="U274" s="71" t="str">
        <f>IFERROR(__xludf.DUMMYFUNCTION("""COMPUTED_VALUE"""),"https://www.sec.gov/cgi-bin/browse-edgar?CIK=1829426")</f>
        <v>https://www.sec.gov/cgi-bin/browse-edgar?CIK=1829426</v>
      </c>
      <c r="V274" s="72" t="str">
        <f>IFERROR(__xludf.DUMMYFUNCTION("""COMPUTED_VALUE""")," Trading Below $10 (Common)  $500M+ Trust Optionable       ")</f>
        <v> Trading Below $10 (Common)  $500M+ Trust Optionable       </v>
      </c>
      <c r="W274" s="73"/>
      <c r="X274" s="74"/>
      <c r="Y274" s="75"/>
      <c r="Z274" s="60"/>
      <c r="AA274" s="60"/>
      <c r="AB274" s="60"/>
      <c r="AC274" s="60"/>
      <c r="AD274" s="73"/>
      <c r="AE274" s="73"/>
      <c r="AF274" s="76"/>
      <c r="AG274" s="60" t="str">
        <f>IFERROR(__xludf.DUMMYFUNCTION("""COMPUTED_VALUE"""),"")</f>
        <v/>
      </c>
    </row>
    <row r="275">
      <c r="A275" s="54" t="str">
        <f>IFERROR(__xludf.DUMMYFUNCTION("""COMPUTED_VALUE"""),"FRON")</f>
        <v>FRON</v>
      </c>
      <c r="B275" s="55" t="str">
        <f>IFERROR(__xludf.DUMMYFUNCTION("""COMPUTED_VALUE"""),"Frontier Acquisition Corp.")</f>
        <v>Frontier Acquisition Corp.</v>
      </c>
      <c r="C275" s="56" t="str">
        <f>IFERROR(__xludf.DUMMYFUNCTION("""COMPUTED_VALUE"""),"Searching (Pre Unit Split)")</f>
        <v>Searching (Pre Unit Split)</v>
      </c>
      <c r="D275" s="77" t="str">
        <f>IFERROR(__xludf.DUMMYFUNCTION("""COMPUTED_VALUE"""),"Healthcare Tech, Biotech")</f>
        <v>Healthcare Tech, Biotech</v>
      </c>
      <c r="E275" s="58"/>
      <c r="F275" s="59"/>
      <c r="G275" s="60">
        <f>IFERROR(__xludf.DUMMYFUNCTION("""COMPUTED_VALUE"""),2.3E8)</f>
        <v>230000000</v>
      </c>
      <c r="H275" s="60" t="str">
        <f>IFERROR(__xludf.DUMMYFUNCTION("""COMPUTED_VALUE""")," ")</f>
        <v> </v>
      </c>
      <c r="I275" s="61" t="str">
        <f>IFERROR(__xludf.DUMMYFUNCTION("""COMPUTED_VALUE""")," ")</f>
        <v> </v>
      </c>
      <c r="J275" s="62" t="str">
        <f>IFERROR(__xludf.DUMMYFUNCTION("""COMPUTED_VALUE""")," ")</f>
        <v> </v>
      </c>
      <c r="K275" s="59">
        <f>IFERROR(__xludf.DUMMYFUNCTION("""COMPUTED_VALUE"""),10.19)</f>
        <v>10.19</v>
      </c>
      <c r="L275" s="63" t="str">
        <f>IFERROR(__xludf.DUMMYFUNCTION("""COMPUTED_VALUE""")," ")</f>
        <v> </v>
      </c>
      <c r="M275" s="64" t="str">
        <f>IFERROR(__xludf.DUMMYFUNCTION("""COMPUTED_VALUE"""),"U: [1/4 W]; W: [1:1, $11.5]")</f>
        <v>U: [1/4 W]; W: [1:1, $11.5]</v>
      </c>
      <c r="N275" s="65">
        <f>IFERROR(__xludf.DUMMYFUNCTION("""COMPUTED_VALUE"""),44317.0)</f>
        <v>44317</v>
      </c>
      <c r="O275" s="66" t="str">
        <f>IFERROR(__xludf.DUMMYFUNCTION("""COMPUTED_VALUE"""),"")</f>
        <v/>
      </c>
      <c r="P275" s="67">
        <f>IFERROR(__xludf.DUMMYFUNCTION("""COMPUTED_VALUE"""),44265.0)</f>
        <v>44265</v>
      </c>
      <c r="Q275" s="68">
        <f>IFERROR(__xludf.DUMMYFUNCTION("""COMPUTED_VALUE"""),230.0)</f>
        <v>230</v>
      </c>
      <c r="R275" s="85" t="str">
        <f>IFERROR(__xludf.DUMMYFUNCTION("""COMPUTED_VALUE"""),"Credit Suisse")</f>
        <v>Credit Suisse</v>
      </c>
      <c r="S275" s="64">
        <f>IFERROR(__xludf.DUMMYFUNCTION("""COMPUTED_VALUE"""),44995.0)</f>
        <v>44995</v>
      </c>
      <c r="T275" s="70">
        <f>IFERROR(__xludf.DUMMYFUNCTION("""COMPUTED_VALUE"""),0.04246575342465753)</f>
        <v>0.04246575342</v>
      </c>
      <c r="U275" s="71" t="str">
        <f>IFERROR(__xludf.DUMMYFUNCTION("""COMPUTED_VALUE"""),"https://www.sec.gov/cgi-bin/browse-edgar?CIK=1842223")</f>
        <v>https://www.sec.gov/cgi-bin/browse-edgar?CIK=1842223</v>
      </c>
      <c r="V275" s="72" t="str">
        <f>IFERROR(__xludf.DUMMYFUNCTION("""COMPUTED_VALUE"""),"            ")</f>
        <v>            </v>
      </c>
      <c r="W275" s="73"/>
      <c r="X275" s="74"/>
      <c r="Y275" s="75"/>
      <c r="Z275" s="60"/>
      <c r="AA275" s="60"/>
      <c r="AB275" s="60"/>
      <c r="AC275" s="60"/>
      <c r="AD275" s="73"/>
      <c r="AE275" s="73"/>
      <c r="AF275" s="76"/>
      <c r="AG275" s="60"/>
    </row>
    <row r="276">
      <c r="A276" s="54" t="str">
        <f>IFERROR(__xludf.DUMMYFUNCTION("""COMPUTED_VALUE"""),"FRSG")</f>
        <v>FRSG</v>
      </c>
      <c r="B276" s="55" t="str">
        <f>IFERROR(__xludf.DUMMYFUNCTION("""COMPUTED_VALUE"""),"First Reserve Sustainable Growth Corp.")</f>
        <v>First Reserve Sustainable Growth Corp.</v>
      </c>
      <c r="C276" s="56" t="str">
        <f>IFERROR(__xludf.DUMMYFUNCTION("""COMPUTED_VALUE"""),"Searching (Pre Unit Split)")</f>
        <v>Searching (Pre Unit Split)</v>
      </c>
      <c r="D276" s="77" t="str">
        <f>IFERROR(__xludf.DUMMYFUNCTION("""COMPUTED_VALUE"""),"Renewable Energy, Energy Transition, Sustainability")</f>
        <v>Renewable Energy, Energy Transition, Sustainability</v>
      </c>
      <c r="E276" s="58"/>
      <c r="F276" s="59"/>
      <c r="G276" s="60">
        <f>IFERROR(__xludf.DUMMYFUNCTION("""COMPUTED_VALUE"""),2.2243955E8)</f>
        <v>222439550</v>
      </c>
      <c r="H276" s="60" t="str">
        <f>IFERROR(__xludf.DUMMYFUNCTION("""COMPUTED_VALUE""")," ")</f>
        <v> </v>
      </c>
      <c r="I276" s="61" t="str">
        <f>IFERROR(__xludf.DUMMYFUNCTION("""COMPUTED_VALUE""")," ")</f>
        <v> </v>
      </c>
      <c r="J276" s="62" t="str">
        <f>IFERROR(__xludf.DUMMYFUNCTION("""COMPUTED_VALUE""")," ")</f>
        <v> </v>
      </c>
      <c r="K276" s="59">
        <f>IFERROR(__xludf.DUMMYFUNCTION("""COMPUTED_VALUE"""),10.07)</f>
        <v>10.07</v>
      </c>
      <c r="L276" s="63" t="str">
        <f>IFERROR(__xludf.DUMMYFUNCTION("""COMPUTED_VALUE""")," ")</f>
        <v> </v>
      </c>
      <c r="M276" s="64" t="str">
        <f>IFERROR(__xludf.DUMMYFUNCTION("""COMPUTED_VALUE"""),"U: [1/4 W]; W: [1:1, $11.5]")</f>
        <v>U: [1/4 W]; W: [1:1, $11.5]</v>
      </c>
      <c r="N276" s="65">
        <f>IFERROR(__xludf.DUMMYFUNCTION("""COMPUTED_VALUE"""),44311.0)</f>
        <v>44311</v>
      </c>
      <c r="O276" s="66" t="str">
        <f>IFERROR(__xludf.DUMMYFUNCTION("""COMPUTED_VALUE"""),"")</f>
        <v/>
      </c>
      <c r="P276" s="67">
        <f>IFERROR(__xludf.DUMMYFUNCTION("""COMPUTED_VALUE"""),44259.0)</f>
        <v>44259</v>
      </c>
      <c r="Q276" s="68">
        <f>IFERROR(__xludf.DUMMYFUNCTION("""COMPUTED_VALUE"""),222.43955)</f>
        <v>222.43955</v>
      </c>
      <c r="R276" s="85" t="str">
        <f>IFERROR(__xludf.DUMMYFUNCTION("""COMPUTED_VALUE"""),"Barclays, Goldman Sachs &amp; Co. LLC")</f>
        <v>Barclays, Goldman Sachs &amp; Co. LLC</v>
      </c>
      <c r="S276" s="64">
        <f>IFERROR(__xludf.DUMMYFUNCTION("""COMPUTED_VALUE"""),44989.0)</f>
        <v>44989</v>
      </c>
      <c r="T276" s="70">
        <f>IFERROR(__xludf.DUMMYFUNCTION("""COMPUTED_VALUE"""),0.050684931506849315)</f>
        <v>0.05068493151</v>
      </c>
      <c r="U276" s="71" t="str">
        <f>IFERROR(__xludf.DUMMYFUNCTION("""COMPUTED_VALUE"""),"https://www.sec.gov/cgi-bin/browse-edgar?CIK=1842883")</f>
        <v>https://www.sec.gov/cgi-bin/browse-edgar?CIK=1842883</v>
      </c>
      <c r="V276" s="72" t="str">
        <f>IFERROR(__xludf.DUMMYFUNCTION("""COMPUTED_VALUE"""),"          Top Tier UW Top Tier UW ")</f>
        <v>          Top Tier UW Top Tier UW </v>
      </c>
      <c r="W276" s="73"/>
      <c r="X276" s="74"/>
      <c r="Y276" s="75"/>
      <c r="Z276" s="60"/>
      <c r="AA276" s="60"/>
      <c r="AB276" s="60"/>
      <c r="AC276" s="60"/>
      <c r="AD276" s="73"/>
      <c r="AE276" s="73"/>
      <c r="AF276" s="76"/>
      <c r="AG276" s="60" t="str">
        <f>IFERROR(__xludf.DUMMYFUNCTION("""COMPUTED_VALUE"""),"")</f>
        <v/>
      </c>
    </row>
    <row r="277">
      <c r="A277" s="54" t="str">
        <f>IFERROR(__xludf.DUMMYFUNCTION("""COMPUTED_VALUE"""),"FRW")</f>
        <v>FRW</v>
      </c>
      <c r="B277" s="55" t="str">
        <f>IFERROR(__xludf.DUMMYFUNCTION("""COMPUTED_VALUE"""),"PWP Forward Acquisition Corp. I")</f>
        <v>PWP Forward Acquisition Corp. I</v>
      </c>
      <c r="C277" s="56" t="str">
        <f>IFERROR(__xludf.DUMMYFUNCTION("""COMPUTED_VALUE"""),"Searching (Pre Unit Split)")</f>
        <v>Searching (Pre Unit Split)</v>
      </c>
      <c r="D277" s="77" t="str">
        <f>IFERROR(__xludf.DUMMYFUNCTION("""COMPUTED_VALUE"""),"Women-Forward Companies")</f>
        <v>Women-Forward Companies</v>
      </c>
      <c r="E277" s="58"/>
      <c r="F277" s="59" t="str">
        <f>IFERROR(__xludf.DUMMYFUNCTION("""COMPUTED_VALUE"""),"Joseph Perella (Founding Partner, Perella Weinberg Partners), Courtney Leimkuhler (Fmr CFO, Marsh)")</f>
        <v>Joseph Perella (Founding Partner, Perella Weinberg Partners), Courtney Leimkuhler (Fmr CFO, Marsh)</v>
      </c>
      <c r="G277" s="60">
        <f>IFERROR(__xludf.DUMMYFUNCTION("""COMPUTED_VALUE"""),2.1163433E8)</f>
        <v>211634330</v>
      </c>
      <c r="H277" s="60" t="str">
        <f>IFERROR(__xludf.DUMMYFUNCTION("""COMPUTED_VALUE""")," ")</f>
        <v> </v>
      </c>
      <c r="I277" s="61" t="str">
        <f>IFERROR(__xludf.DUMMYFUNCTION("""COMPUTED_VALUE""")," ")</f>
        <v> </v>
      </c>
      <c r="J277" s="62" t="str">
        <f>IFERROR(__xludf.DUMMYFUNCTION("""COMPUTED_VALUE""")," ")</f>
        <v> </v>
      </c>
      <c r="K277" s="59" t="str">
        <f>IFERROR(__xludf.DUMMYFUNCTION("""COMPUTED_VALUE""")," ")</f>
        <v> </v>
      </c>
      <c r="L277" s="63" t="str">
        <f>IFERROR(__xludf.DUMMYFUNCTION("""COMPUTED_VALUE""")," ")</f>
        <v> </v>
      </c>
      <c r="M277" s="64" t="str">
        <f>IFERROR(__xludf.DUMMYFUNCTION("""COMPUTED_VALUE"""),"U: [1/5 W]; W: [1:1, $11.5]")</f>
        <v>U: [1/5 W]; W: [1:1, $11.5]</v>
      </c>
      <c r="N277" s="65">
        <f>IFERROR(__xludf.DUMMYFUNCTION("""COMPUTED_VALUE"""),44316.0)</f>
        <v>44316</v>
      </c>
      <c r="O277" s="66">
        <f>IFERROR(__xludf.DUMMYFUNCTION("""COMPUTED_VALUE"""),0.0)</f>
        <v>0</v>
      </c>
      <c r="P277" s="67">
        <f>IFERROR(__xludf.DUMMYFUNCTION("""COMPUTED_VALUE"""),44264.0)</f>
        <v>44264</v>
      </c>
      <c r="Q277" s="68">
        <f>IFERROR(__xludf.DUMMYFUNCTION("""COMPUTED_VALUE"""),211.63433)</f>
        <v>211.63433</v>
      </c>
      <c r="R277" s="85" t="str">
        <f>IFERROR(__xludf.DUMMYFUNCTION("""COMPUTED_VALUE"""),"Citigroup")</f>
        <v>Citigroup</v>
      </c>
      <c r="S277" s="64">
        <f>IFERROR(__xludf.DUMMYFUNCTION("""COMPUTED_VALUE"""),44994.0)</f>
        <v>44994</v>
      </c>
      <c r="T277" s="70">
        <f>IFERROR(__xludf.DUMMYFUNCTION("""COMPUTED_VALUE"""),0.043835616438356165)</f>
        <v>0.04383561644</v>
      </c>
      <c r="U277" s="71" t="str">
        <f>IFERROR(__xludf.DUMMYFUNCTION("""COMPUTED_VALUE"""),"https://www.sec.gov/cgi-bin/browse-edgar?CIK=1825739")</f>
        <v>https://www.sec.gov/cgi-bin/browse-edgar?CIK=1825739</v>
      </c>
      <c r="V277" s="72" t="str">
        <f>IFERROR(__xludf.DUMMYFUNCTION("""COMPUTED_VALUE"""),"         Well-known Sponsor  Top Tier UW ")</f>
        <v>         Well-known Sponsor  Top Tier UW </v>
      </c>
      <c r="W277" s="73"/>
      <c r="X277" s="74"/>
      <c r="Y277" s="75"/>
      <c r="Z277" s="60"/>
      <c r="AA277" s="60"/>
      <c r="AB277" s="60"/>
      <c r="AC277" s="60"/>
      <c r="AD277" s="73"/>
      <c r="AE277" s="73"/>
      <c r="AF277" s="76"/>
      <c r="AG277" s="60"/>
    </row>
    <row r="278">
      <c r="A278" s="54" t="str">
        <f>IFERROR(__xludf.DUMMYFUNCTION("""COMPUTED_VALUE"""),"FRX")</f>
        <v>FRX</v>
      </c>
      <c r="B278" s="55" t="str">
        <f>IFERROR(__xludf.DUMMYFUNCTION("""COMPUTED_VALUE"""),"Forest Road Acquisition Corp.")</f>
        <v>Forest Road Acquisition Corp.</v>
      </c>
      <c r="C278" s="56" t="str">
        <f>IFERROR(__xludf.DUMMYFUNCTION("""COMPUTED_VALUE"""),"Definitive Agreement")</f>
        <v>Definitive Agreement</v>
      </c>
      <c r="D278" s="57" t="str">
        <f>IFERROR(__xludf.DUMMYFUNCTION("""COMPUTED_VALUE"""),"TMT (Tech, Media, Telecom)")</f>
        <v>TMT (Tech, Media, Telecom)</v>
      </c>
      <c r="E278" s="58" t="str">
        <f>IFERROR(__xludf.DUMMYFUNCTION("""COMPUTED_VALUE"""),"Beachbody and Myx Fitness [DA: 02/10/21]")</f>
        <v>Beachbody and Myx Fitness [DA: 02/10/21]</v>
      </c>
      <c r="F278" s="59" t="str">
        <f>IFERROR(__xludf.DUMMYFUNCTION("""COMPUTED_VALUE"""),"Keith Horn (Former COO, Elliott Management Corp; Founder, Loring Capital Advisors), Tom Staggs (former Disney COO), Kevin Mayer (Former CEO, TikTok), Shaquille O’Neal, Martin Luther King III")</f>
        <v>Keith Horn (Former COO, Elliott Management Corp; Founder, Loring Capital Advisors), Tom Staggs (former Disney COO), Kevin Mayer (Former CEO, TikTok), Shaquille O’Neal, Martin Luther King III</v>
      </c>
      <c r="G278" s="60">
        <f>IFERROR(__xludf.DUMMYFUNCTION("""COMPUTED_VALUE"""),3.0E8)</f>
        <v>300000000</v>
      </c>
      <c r="H278" s="60">
        <f>IFERROR(__xludf.DUMMYFUNCTION("""COMPUTED_VALUE"""),3.015E8)</f>
        <v>301500000</v>
      </c>
      <c r="I278" s="61">
        <f>IFERROR(__xludf.DUMMYFUNCTION("""COMPUTED_VALUE"""),10.05)</f>
        <v>10.05</v>
      </c>
      <c r="J278" s="62">
        <f>IFERROR(__xludf.DUMMYFUNCTION("""COMPUTED_VALUE"""),-0.00495)</f>
        <v>-0.00495</v>
      </c>
      <c r="K278" s="59">
        <f>IFERROR(__xludf.DUMMYFUNCTION("""COMPUTED_VALUE"""),11.2)</f>
        <v>11.2</v>
      </c>
      <c r="L278" s="63">
        <f>IFERROR(__xludf.DUMMYFUNCTION("""COMPUTED_VALUE"""),2.76)</f>
        <v>2.76</v>
      </c>
      <c r="M278" s="64" t="str">
        <f>IFERROR(__xludf.DUMMYFUNCTION("""COMPUTED_VALUE"""),"U: [1/3 W]; W: [1:1, $11.5]")</f>
        <v>U: [1/3 W]; W: [1:1, $11.5]</v>
      </c>
      <c r="N278" s="65" t="str">
        <f>IFERROR(__xludf.DUMMYFUNCTION("""COMPUTED_VALUE"""),"")</f>
        <v/>
      </c>
      <c r="O278" s="66">
        <f>IFERROR(__xludf.DUMMYFUNCTION("""COMPUTED_VALUE"""),0.0)</f>
        <v>0</v>
      </c>
      <c r="P278" s="67">
        <f>IFERROR(__xludf.DUMMYFUNCTION("""COMPUTED_VALUE"""),44159.0)</f>
        <v>44159</v>
      </c>
      <c r="Q278" s="68">
        <f>IFERROR(__xludf.DUMMYFUNCTION("""COMPUTED_VALUE"""),300.0)</f>
        <v>300</v>
      </c>
      <c r="R278" s="85" t="str">
        <f>IFERROR(__xludf.DUMMYFUNCTION("""COMPUTED_VALUE"""),"Cantor")</f>
        <v>Cantor</v>
      </c>
      <c r="S278" s="64">
        <f>IFERROR(__xludf.DUMMYFUNCTION("""COMPUTED_VALUE"""),44889.0)</f>
        <v>44889</v>
      </c>
      <c r="T278" s="70">
        <f>IFERROR(__xludf.DUMMYFUNCTION("""COMPUTED_VALUE"""),0.18767123287671234)</f>
        <v>0.1876712329</v>
      </c>
      <c r="U278" s="71" t="str">
        <f>IFERROR(__xludf.DUMMYFUNCTION("""COMPUTED_VALUE"""),"https://www.sec.gov/cgi-bin/browse-edgar?CIK=1826889")</f>
        <v>https://www.sec.gov/cgi-bin/browse-edgar?CIK=1826889</v>
      </c>
      <c r="V278" s="72" t="str">
        <f>IFERROR(__xludf.DUMMYFUNCTION("""COMPUTED_VALUE"""),"     Optionable    Well-known Sponsor   ")</f>
        <v>     Optionable    Well-known Sponsor   </v>
      </c>
      <c r="W278" s="73">
        <f>IFERROR(__xludf.DUMMYFUNCTION("""COMPUTED_VALUE"""),44237.0)</f>
        <v>44237</v>
      </c>
      <c r="X278" s="79">
        <f>IFERROR(__xludf.DUMMYFUNCTION("""COMPUTED_VALUE"""),2.6)</f>
        <v>2.6</v>
      </c>
      <c r="Y278" s="80" t="str">
        <f>IFERROR(__xludf.DUMMYFUNCTION("""COMPUTED_VALUE"""),"https://www.businesswire.com/news/home/20210210005414/en/The-Beachbody-Company-a-Leader-in-Digital-Fitness-Streaming-and-Nutrition-Solutions-to-Become-Publicly-Traded-Company")</f>
        <v>https://www.businesswire.com/news/home/20210210005414/en/The-Beachbody-Company-a-Leader-in-Digital-Fitness-Streaming-and-Nutrition-Solutions-to-Become-Publicly-Traded-Company</v>
      </c>
      <c r="Z278" s="81" t="str">
        <f>IFERROR(__xludf.DUMMYFUNCTION("""COMPUTED_VALUE"""),"https://www.sec.gov/Archives/edgar/data/1826889/000121390021007925/ea135103ex99-2_forestroad.htm")</f>
        <v>https://www.sec.gov/Archives/edgar/data/1826889/000121390021007925/ea135103ex99-2_forestroad.htm</v>
      </c>
      <c r="AA278" s="60">
        <f>IFERROR(__xludf.DUMMYFUNCTION("""COMPUTED_VALUE"""),2.25E8)</f>
        <v>225000000</v>
      </c>
      <c r="AB278" s="60">
        <f>IFERROR(__xludf.DUMMYFUNCTION("""COMPUTED_VALUE"""),3.425E9)</f>
        <v>3425000000</v>
      </c>
      <c r="AC278" s="60">
        <f>IFERROR(__xludf.DUMMYFUNCTION("""COMPUTED_VALUE"""),2.934E9)</f>
        <v>2934000000</v>
      </c>
      <c r="AD278" s="73"/>
      <c r="AE278" s="73"/>
      <c r="AF278" s="76">
        <f>IFERROR(__xludf.DUMMYFUNCTION("""COMPUTED_VALUE"""),3.425E8)</f>
        <v>342500000</v>
      </c>
      <c r="AG278" s="60">
        <f>IFERROR(__xludf.DUMMYFUNCTION("""COMPUTED_VALUE"""),3.4421250000000005E9)</f>
        <v>3442125000</v>
      </c>
    </row>
    <row r="279">
      <c r="A279" s="54" t="str">
        <f>IFERROR(__xludf.DUMMYFUNCTION("""COMPUTED_VALUE"""),"FRXB")</f>
        <v>FRXB</v>
      </c>
      <c r="B279" s="55" t="str">
        <f>IFERROR(__xludf.DUMMYFUNCTION("""COMPUTED_VALUE"""),"Forest Road Acquisition Corp. II")</f>
        <v>Forest Road Acquisition Corp. II</v>
      </c>
      <c r="C279" s="56" t="str">
        <f>IFERROR(__xludf.DUMMYFUNCTION("""COMPUTED_VALUE"""),"Searching (Pre Unit Split)")</f>
        <v>Searching (Pre Unit Split)</v>
      </c>
      <c r="D279" s="57" t="str">
        <f>IFERROR(__xludf.DUMMYFUNCTION("""COMPUTED_VALUE"""),"TMT &amp; C (Tech, Media, Telecom &amp; Consumer)")</f>
        <v>TMT &amp; C (Tech, Media, Telecom &amp; Consumer)</v>
      </c>
      <c r="E279" s="58"/>
      <c r="F279" s="59" t="str">
        <f>IFERROR(__xludf.DUMMYFUNCTION("""COMPUTED_VALUE"""),"Tom Staggs (Fmr COO, The Walt Disney Company; Director, Spotify), Kevin Mayer (Fmr CEO, TikTok), Shaquille “Shaq” O’Neal (4x NBA Champion), Martin Luther King III")</f>
        <v>Tom Staggs (Fmr COO, The Walt Disney Company; Director, Spotify), Kevin Mayer (Fmr CEO, TikTok), Shaquille “Shaq” O’Neal (4x NBA Champion), Martin Luther King III</v>
      </c>
      <c r="G279" s="60">
        <f>IFERROR(__xludf.DUMMYFUNCTION("""COMPUTED_VALUE"""),3.5E8)</f>
        <v>350000000</v>
      </c>
      <c r="H279" s="60" t="str">
        <f>IFERROR(__xludf.DUMMYFUNCTION("""COMPUTED_VALUE""")," ")</f>
        <v> </v>
      </c>
      <c r="I279" s="61" t="str">
        <f>IFERROR(__xludf.DUMMYFUNCTION("""COMPUTED_VALUE""")," ")</f>
        <v> </v>
      </c>
      <c r="J279" s="62" t="str">
        <f>IFERROR(__xludf.DUMMYFUNCTION("""COMPUTED_VALUE""")," ")</f>
        <v> </v>
      </c>
      <c r="K279" s="59">
        <f>IFERROR(__xludf.DUMMYFUNCTION("""COMPUTED_VALUE"""),10.04)</f>
        <v>10.04</v>
      </c>
      <c r="L279" s="63" t="str">
        <f>IFERROR(__xludf.DUMMYFUNCTION("""COMPUTED_VALUE""")," ")</f>
        <v> </v>
      </c>
      <c r="M279" s="64" t="str">
        <f>IFERROR(__xludf.DUMMYFUNCTION("""COMPUTED_VALUE"""),"U: [1/5 W]; W: [1:1, $11.5]")</f>
        <v>U: [1/5 W]; W: [1:1, $11.5]</v>
      </c>
      <c r="N279" s="65">
        <f>IFERROR(__xludf.DUMMYFUNCTION("""COMPUTED_VALUE"""),44316.0)</f>
        <v>44316</v>
      </c>
      <c r="O279" s="66" t="str">
        <f>IFERROR(__xludf.DUMMYFUNCTION("""COMPUTED_VALUE"""),"")</f>
        <v/>
      </c>
      <c r="P279" s="67">
        <f>IFERROR(__xludf.DUMMYFUNCTION("""COMPUTED_VALUE"""),44264.0)</f>
        <v>44264</v>
      </c>
      <c r="Q279" s="68">
        <f>IFERROR(__xludf.DUMMYFUNCTION("""COMPUTED_VALUE"""),350.0)</f>
        <v>350</v>
      </c>
      <c r="R279" s="85" t="str">
        <f>IFERROR(__xludf.DUMMYFUNCTION("""COMPUTED_VALUE"""),"Morgan Stanley, Cantor, Guggenheim Securities")</f>
        <v>Morgan Stanley, Cantor, Guggenheim Securities</v>
      </c>
      <c r="S279" s="64">
        <f>IFERROR(__xludf.DUMMYFUNCTION("""COMPUTED_VALUE"""),44994.0)</f>
        <v>44994</v>
      </c>
      <c r="T279" s="70">
        <f>IFERROR(__xludf.DUMMYFUNCTION("""COMPUTED_VALUE"""),0.043835616438356165)</f>
        <v>0.04383561644</v>
      </c>
      <c r="U279" s="71" t="str">
        <f>IFERROR(__xludf.DUMMYFUNCTION("""COMPUTED_VALUE"""),"https://www.sec.gov/cgi-bin/browse-edgar?CIK=1840161")</f>
        <v>https://www.sec.gov/cgi-bin/browse-edgar?CIK=1840161</v>
      </c>
      <c r="V279" s="72" t="str">
        <f>IFERROR(__xludf.DUMMYFUNCTION("""COMPUTED_VALUE"""),"         Well-known Sponsor  Top Tier UW ")</f>
        <v>         Well-known Sponsor  Top Tier UW </v>
      </c>
      <c r="W279" s="73"/>
      <c r="X279" s="74"/>
      <c r="Y279" s="75"/>
      <c r="Z279" s="60"/>
      <c r="AA279" s="60"/>
      <c r="AB279" s="60"/>
      <c r="AC279" s="60"/>
      <c r="AD279" s="73"/>
      <c r="AE279" s="73"/>
      <c r="AF279" s="76"/>
      <c r="AG279" s="60"/>
    </row>
    <row r="280">
      <c r="A280" s="54" t="str">
        <f>IFERROR(__xludf.DUMMYFUNCTION("""COMPUTED_VALUE"""),"FSII")</f>
        <v>FSII</v>
      </c>
      <c r="B280" s="55" t="str">
        <f>IFERROR(__xludf.DUMMYFUNCTION("""COMPUTED_VALUE"""),"FS Development Corp. II")</f>
        <v>FS Development Corp. II</v>
      </c>
      <c r="C280" s="56" t="str">
        <f>IFERROR(__xludf.DUMMYFUNCTION("""COMPUTED_VALUE"""),"Searching")</f>
        <v>Searching</v>
      </c>
      <c r="D280" s="57" t="str">
        <f>IFERROR(__xludf.DUMMYFUNCTION("""COMPUTED_VALUE"""),"Biotech and Life Science infrastructure")</f>
        <v>Biotech and Life Science infrastructure</v>
      </c>
      <c r="E280" s="58"/>
      <c r="F280" s="59" t="str">
        <f>IFERROR(__xludf.DUMMYFUNCTION("""COMPUTED_VALUE"""),"Dr. Jim Tananbaum (Founder, Foresite Capital)")</f>
        <v>Dr. Jim Tananbaum (Founder, Foresite Capital)</v>
      </c>
      <c r="G280" s="60">
        <f>IFERROR(__xludf.DUMMYFUNCTION("""COMPUTED_VALUE"""),2.0125E8)</f>
        <v>201250000</v>
      </c>
      <c r="H280" s="60">
        <f>IFERROR(__xludf.DUMMYFUNCTION("""COMPUTED_VALUE"""),1.5075E8)</f>
        <v>150750000</v>
      </c>
      <c r="I280" s="61">
        <f>IFERROR(__xludf.DUMMYFUNCTION("""COMPUTED_VALUE"""),10.05)</f>
        <v>10.05</v>
      </c>
      <c r="J280" s="62">
        <f>IFERROR(__xludf.DUMMYFUNCTION("""COMPUTED_VALUE"""),-0.00396)</f>
        <v>-0.00396</v>
      </c>
      <c r="K280" s="59" t="str">
        <f>IFERROR(__xludf.DUMMYFUNCTION("""COMPUTED_VALUE""")," ")</f>
        <v> </v>
      </c>
      <c r="L280" s="63" t="str">
        <f>IFERROR(__xludf.DUMMYFUNCTION("""COMPUTED_VALUE""")," ")</f>
        <v> </v>
      </c>
      <c r="M280" s="64" t="str">
        <f>IFERROR(__xludf.DUMMYFUNCTION("""COMPUTED_VALUE"""),"U: [No units]; W: [No warrants]")</f>
        <v>U: [No units]; W: [No warrants]</v>
      </c>
      <c r="N280" s="65" t="str">
        <f>IFERROR(__xludf.DUMMYFUNCTION("""COMPUTED_VALUE"""),"")</f>
        <v/>
      </c>
      <c r="O280" s="66">
        <f>IFERROR(__xludf.DUMMYFUNCTION("""COMPUTED_VALUE"""),0.0)</f>
        <v>0</v>
      </c>
      <c r="P280" s="67">
        <f>IFERROR(__xludf.DUMMYFUNCTION("""COMPUTED_VALUE"""),44243.0)</f>
        <v>44243</v>
      </c>
      <c r="Q280" s="68">
        <f>IFERROR(__xludf.DUMMYFUNCTION("""COMPUTED_VALUE"""),201.25)</f>
        <v>201.25</v>
      </c>
      <c r="R280" s="85" t="str">
        <f>IFERROR(__xludf.DUMMYFUNCTION("""COMPUTED_VALUE"""),"Jefferies")</f>
        <v>Jefferies</v>
      </c>
      <c r="S280" s="64">
        <f>IFERROR(__xludf.DUMMYFUNCTION("""COMPUTED_VALUE"""),44973.0)</f>
        <v>44973</v>
      </c>
      <c r="T280" s="70">
        <f>IFERROR(__xludf.DUMMYFUNCTION("""COMPUTED_VALUE"""),0.07260273972602739)</f>
        <v>0.07260273973</v>
      </c>
      <c r="U280" s="71" t="str">
        <f>IFERROR(__xludf.DUMMYFUNCTION("""COMPUTED_VALUE"""),"https://www.sec.gov/cgi-bin/browse-edgar?CIK=1822711")</f>
        <v>https://www.sec.gov/cgi-bin/browse-edgar?CIK=1822711</v>
      </c>
      <c r="V280" s="72" t="str">
        <f>IFERROR(__xludf.DUMMYFUNCTION("""COMPUTED_VALUE"""),"Venture Capital            Recent Split")</f>
        <v>Venture Capital            Recent Split</v>
      </c>
      <c r="W280" s="73"/>
      <c r="X280" s="74"/>
      <c r="Y280" s="75"/>
      <c r="Z280" s="60"/>
      <c r="AA280" s="60"/>
      <c r="AB280" s="60"/>
      <c r="AC280" s="60"/>
      <c r="AD280" s="73"/>
      <c r="AE280" s="73"/>
      <c r="AF280" s="76"/>
      <c r="AG280" s="60" t="str">
        <f>IFERROR(__xludf.DUMMYFUNCTION("""COMPUTED_VALUE"""),"")</f>
        <v/>
      </c>
    </row>
    <row r="281">
      <c r="A281" s="54" t="str">
        <f>IFERROR(__xludf.DUMMYFUNCTION("""COMPUTED_VALUE"""),"FSNB")</f>
        <v>FSNB</v>
      </c>
      <c r="B281" s="55" t="str">
        <f>IFERROR(__xludf.DUMMYFUNCTION("""COMPUTED_VALUE"""),"Fusion Acquisition Corp. II")</f>
        <v>Fusion Acquisition Corp. II</v>
      </c>
      <c r="C281" s="56" t="str">
        <f>IFERROR(__xludf.DUMMYFUNCTION("""COMPUTED_VALUE"""),"Searching (Pre Unit Split)")</f>
        <v>Searching (Pre Unit Split)</v>
      </c>
      <c r="D281" s="57" t="str">
        <f>IFERROR(__xludf.DUMMYFUNCTION("""COMPUTED_VALUE"""),"Fintech, or wealth, investment &amp; asset management")</f>
        <v>Fintech, or wealth, investment &amp; asset management</v>
      </c>
      <c r="E281" s="58"/>
      <c r="F281" s="59"/>
      <c r="G281" s="60">
        <f>IFERROR(__xludf.DUMMYFUNCTION("""COMPUTED_VALUE"""),5.0E8)</f>
        <v>500000000</v>
      </c>
      <c r="H281" s="60" t="str">
        <f>IFERROR(__xludf.DUMMYFUNCTION("""COMPUTED_VALUE""")," ")</f>
        <v> </v>
      </c>
      <c r="I281" s="61" t="str">
        <f>IFERROR(__xludf.DUMMYFUNCTION("""COMPUTED_VALUE""")," ")</f>
        <v> </v>
      </c>
      <c r="J281" s="62" t="str">
        <f>IFERROR(__xludf.DUMMYFUNCTION("""COMPUTED_VALUE""")," ")</f>
        <v> </v>
      </c>
      <c r="K281" s="59">
        <f>IFERROR(__xludf.DUMMYFUNCTION("""COMPUTED_VALUE"""),10.0)</f>
        <v>10</v>
      </c>
      <c r="L281" s="63" t="str">
        <f>IFERROR(__xludf.DUMMYFUNCTION("""COMPUTED_VALUE""")," ")</f>
        <v> </v>
      </c>
      <c r="M281" s="64" t="str">
        <f>IFERROR(__xludf.DUMMYFUNCTION("""COMPUTED_VALUE"""),"U: [1/3 W]; W: [1:1, $11.5]")</f>
        <v>U: [1/3 W]; W: [1:1, $11.5]</v>
      </c>
      <c r="N281" s="65">
        <f>IFERROR(__xludf.DUMMYFUNCTION("""COMPUTED_VALUE"""),44304.0)</f>
        <v>44304</v>
      </c>
      <c r="O281" s="66" t="str">
        <f>IFERROR(__xludf.DUMMYFUNCTION("""COMPUTED_VALUE"""),"")</f>
        <v/>
      </c>
      <c r="P281" s="67">
        <f>IFERROR(__xludf.DUMMYFUNCTION("""COMPUTED_VALUE"""),44252.0)</f>
        <v>44252</v>
      </c>
      <c r="Q281" s="68">
        <f>IFERROR(__xludf.DUMMYFUNCTION("""COMPUTED_VALUE"""),500.0)</f>
        <v>500</v>
      </c>
      <c r="R281" s="85" t="str">
        <f>IFERROR(__xludf.DUMMYFUNCTION("""COMPUTED_VALUE"""),"Cantor")</f>
        <v>Cantor</v>
      </c>
      <c r="S281" s="64">
        <f>IFERROR(__xludf.DUMMYFUNCTION("""COMPUTED_VALUE"""),44982.0)</f>
        <v>44982</v>
      </c>
      <c r="T281" s="70">
        <f>IFERROR(__xludf.DUMMYFUNCTION("""COMPUTED_VALUE"""),0.06027397260273973)</f>
        <v>0.0602739726</v>
      </c>
      <c r="U281" s="71" t="str">
        <f>IFERROR(__xludf.DUMMYFUNCTION("""COMPUTED_VALUE"""),"https://www.sec.gov/cgi-bin/browse-edgar?CIK=1840225")</f>
        <v>https://www.sec.gov/cgi-bin/browse-edgar?CIK=1840225</v>
      </c>
      <c r="V281" s="72" t="str">
        <f>IFERROR(__xludf.DUMMYFUNCTION("""COMPUTED_VALUE"""),"   $500M+ Trust        ")</f>
        <v>   $500M+ Trust        </v>
      </c>
      <c r="W281" s="73"/>
      <c r="X281" s="74"/>
      <c r="Y281" s="75"/>
      <c r="Z281" s="60"/>
      <c r="AA281" s="60"/>
      <c r="AB281" s="60"/>
      <c r="AC281" s="60"/>
      <c r="AD281" s="73"/>
      <c r="AE281" s="73"/>
      <c r="AF281" s="76"/>
      <c r="AG281" s="60" t="str">
        <f>IFERROR(__xludf.DUMMYFUNCTION("""COMPUTED_VALUE"""),"")</f>
        <v/>
      </c>
    </row>
    <row r="282">
      <c r="A282" s="54" t="str">
        <f>IFERROR(__xludf.DUMMYFUNCTION("""COMPUTED_VALUE"""),"FSRV")</f>
        <v>FSRV</v>
      </c>
      <c r="B282" s="55" t="str">
        <f>IFERROR(__xludf.DUMMYFUNCTION("""COMPUTED_VALUE"""),"FinServ Acquisition Corp")</f>
        <v>FinServ Acquisition Corp</v>
      </c>
      <c r="C282" s="56" t="str">
        <f>IFERROR(__xludf.DUMMYFUNCTION("""COMPUTED_VALUE"""),"Definitive Agreement")</f>
        <v>Definitive Agreement</v>
      </c>
      <c r="D282" s="57" t="str">
        <f>IFERROR(__xludf.DUMMYFUNCTION("""COMPUTED_VALUE"""),"Fintech, Financial Services")</f>
        <v>Fintech, Financial Services</v>
      </c>
      <c r="E282" s="58" t="str">
        <f>IFERROR(__xludf.DUMMYFUNCTION("""COMPUTED_VALUE"""),"Katapult [DA: 12/18/20]")</f>
        <v>Katapult [DA: 12/18/20]</v>
      </c>
      <c r="F282" s="59"/>
      <c r="G282" s="60">
        <f>IFERROR(__xludf.DUMMYFUNCTION("""COMPUTED_VALUE"""),2.51249193E8)</f>
        <v>251249193</v>
      </c>
      <c r="H282" s="60">
        <f>IFERROR(__xludf.DUMMYFUNCTION("""COMPUTED_VALUE"""),3.4776075E8)</f>
        <v>347760750</v>
      </c>
      <c r="I282" s="61">
        <f>IFERROR(__xludf.DUMMYFUNCTION("""COMPUTED_VALUE"""),13.55)</f>
        <v>13.55</v>
      </c>
      <c r="J282" s="62">
        <f>IFERROR(__xludf.DUMMYFUNCTION("""COMPUTED_VALUE"""),0.08923)</f>
        <v>0.08923</v>
      </c>
      <c r="K282" s="59">
        <f>IFERROR(__xludf.DUMMYFUNCTION("""COMPUTED_VALUE"""),15.0)</f>
        <v>15</v>
      </c>
      <c r="L282" s="63">
        <f>IFERROR(__xludf.DUMMYFUNCTION("""COMPUTED_VALUE"""),3.85)</f>
        <v>3.85</v>
      </c>
      <c r="M282" s="64" t="str">
        <f>IFERROR(__xludf.DUMMYFUNCTION("""COMPUTED_VALUE"""),"U: [1/2 W]; W: [1:1, $11.5]")</f>
        <v>U: [1/2 W]; W: [1:1, $11.5]</v>
      </c>
      <c r="N282" s="65" t="str">
        <f>IFERROR(__xludf.DUMMYFUNCTION("""COMPUTED_VALUE"""),"")</f>
        <v/>
      </c>
      <c r="O282" s="66">
        <f>IFERROR(__xludf.DUMMYFUNCTION("""COMPUTED_VALUE"""),2.0500000000000007)</f>
        <v>2.05</v>
      </c>
      <c r="P282" s="67">
        <f>IFERROR(__xludf.DUMMYFUNCTION("""COMPUTED_VALUE"""),43770.0)</f>
        <v>43770</v>
      </c>
      <c r="Q282" s="68">
        <f>IFERROR(__xludf.DUMMYFUNCTION("""COMPUTED_VALUE"""),250.0)</f>
        <v>250</v>
      </c>
      <c r="R282" s="85" t="str">
        <f>IFERROR(__xludf.DUMMYFUNCTION("""COMPUTED_VALUE"""),"Barclays, Cantor")</f>
        <v>Barclays, Cantor</v>
      </c>
      <c r="S282" s="64">
        <f>IFERROR(__xludf.DUMMYFUNCTION("""COMPUTED_VALUE"""),44500.0)</f>
        <v>44500</v>
      </c>
      <c r="T282" s="70">
        <f>IFERROR(__xludf.DUMMYFUNCTION("""COMPUTED_VALUE"""),0.7205479452054795)</f>
        <v>0.7205479452</v>
      </c>
      <c r="U282" s="71" t="str">
        <f>IFERROR(__xludf.DUMMYFUNCTION("""COMPUTED_VALUE"""),"https://www.sec.gov/cgi-bin/browse-edgar?CIK=1785424")</f>
        <v>https://www.sec.gov/cgi-bin/browse-edgar?CIK=1785424</v>
      </c>
      <c r="V282" s="72" t="str">
        <f>IFERROR(__xludf.DUMMYFUNCTION("""COMPUTED_VALUE"""),"     Optionable       ")</f>
        <v>     Optionable       </v>
      </c>
      <c r="W282" s="73">
        <f>IFERROR(__xludf.DUMMYFUNCTION("""COMPUTED_VALUE"""),44183.0)</f>
        <v>44183</v>
      </c>
      <c r="X282" s="79">
        <f>IFERROR(__xludf.DUMMYFUNCTION("""COMPUTED_VALUE"""),13.766666666666667)</f>
        <v>13.76666667</v>
      </c>
      <c r="Y282" s="80" t="str">
        <f>IFERROR(__xludf.DUMMYFUNCTION("""COMPUTED_VALUE"""),"https://www.businesswire.com/news/home/20201218005404/en/Katapult-to-Become-a-Publicly-Traded-Company-Through-Merger-With-FinServ-Acquisition-Corp.")</f>
        <v>https://www.businesswire.com/news/home/20201218005404/en/Katapult-to-Become-a-Publicly-Traded-Company-Through-Merger-With-FinServ-Acquisition-Corp.</v>
      </c>
      <c r="Z282" s="81" t="str">
        <f>IFERROR(__xludf.DUMMYFUNCTION("""COMPUTED_VALUE"""),"https://www.sec.gov/Archives/edgar/data/1785424/000121390020043416/ea131891ex99-2_finserv.htm")</f>
        <v>https://www.sec.gov/Archives/edgar/data/1785424/000121390020043416/ea131891ex99-2_finserv.htm</v>
      </c>
      <c r="AA282" s="60">
        <f>IFERROR(__xludf.DUMMYFUNCTION("""COMPUTED_VALUE"""),1.5E8)</f>
        <v>150000000</v>
      </c>
      <c r="AB282" s="60">
        <f>IFERROR(__xludf.DUMMYFUNCTION("""COMPUTED_VALUE"""),9.62E8)</f>
        <v>962000000</v>
      </c>
      <c r="AC282" s="60">
        <f>IFERROR(__xludf.DUMMYFUNCTION("""COMPUTED_VALUE"""),9.93E8)</f>
        <v>993000000</v>
      </c>
      <c r="AD282" s="73"/>
      <c r="AE282" s="73"/>
      <c r="AF282" s="76">
        <f>IFERROR(__xludf.DUMMYFUNCTION("""COMPUTED_VALUE"""),9.62E7)</f>
        <v>96200000</v>
      </c>
      <c r="AG282" s="60">
        <f>IFERROR(__xludf.DUMMYFUNCTION("""COMPUTED_VALUE"""),1.30351E9)</f>
        <v>1303510000</v>
      </c>
    </row>
    <row r="283">
      <c r="A283" s="54" t="str">
        <f>IFERROR(__xludf.DUMMYFUNCTION("""COMPUTED_VALUE"""),"FSRX")</f>
        <v>FSRX</v>
      </c>
      <c r="B283" s="55" t="str">
        <f>IFERROR(__xludf.DUMMYFUNCTION("""COMPUTED_VALUE"""),"Finserv Acquisition Corp. II")</f>
        <v>Finserv Acquisition Corp. II</v>
      </c>
      <c r="C283" s="56" t="str">
        <f>IFERROR(__xludf.DUMMYFUNCTION("""COMPUTED_VALUE"""),"Searching (Pre Unit Split)")</f>
        <v>Searching (Pre Unit Split)</v>
      </c>
      <c r="D283" s="77" t="str">
        <f>IFERROR(__xludf.DUMMYFUNCTION("""COMPUTED_VALUE"""),"Fintech, Financial services")</f>
        <v>Fintech, Financial services</v>
      </c>
      <c r="E283" s="58"/>
      <c r="F283" s="59" t="str">
        <f>IFERROR(__xludf.DUMMYFUNCTION("""COMPUTED_VALUE"""),"Lee Einbinder (Vice Chairman, Barclays), Michael Vaughan (Fmr COO, Venmo)")</f>
        <v>Lee Einbinder (Vice Chairman, Barclays), Michael Vaughan (Fmr COO, Venmo)</v>
      </c>
      <c r="G283" s="60">
        <f>IFERROR(__xludf.DUMMYFUNCTION("""COMPUTED_VALUE"""),3.0E8)</f>
        <v>300000000</v>
      </c>
      <c r="H283" s="60" t="str">
        <f>IFERROR(__xludf.DUMMYFUNCTION("""COMPUTED_VALUE""")," ")</f>
        <v> </v>
      </c>
      <c r="I283" s="61" t="str">
        <f>IFERROR(__xludf.DUMMYFUNCTION("""COMPUTED_VALUE""")," ")</f>
        <v> </v>
      </c>
      <c r="J283" s="62" t="str">
        <f>IFERROR(__xludf.DUMMYFUNCTION("""COMPUTED_VALUE""")," ")</f>
        <v> </v>
      </c>
      <c r="K283" s="59">
        <f>IFERROR(__xludf.DUMMYFUNCTION("""COMPUTED_VALUE"""),10.16)</f>
        <v>10.16</v>
      </c>
      <c r="L283" s="63" t="str">
        <f>IFERROR(__xludf.DUMMYFUNCTION("""COMPUTED_VALUE""")," ")</f>
        <v> </v>
      </c>
      <c r="M283" s="64" t="str">
        <f>IFERROR(__xludf.DUMMYFUNCTION("""COMPUTED_VALUE"""),"U: [1/4 W]; W: [1:1, $11.5]")</f>
        <v>U: [1/4 W]; W: [1:1, $11.5]</v>
      </c>
      <c r="N283" s="65">
        <f>IFERROR(__xludf.DUMMYFUNCTION("""COMPUTED_VALUE"""),44296.0)</f>
        <v>44296</v>
      </c>
      <c r="O283" s="66" t="str">
        <f>IFERROR(__xludf.DUMMYFUNCTION("""COMPUTED_VALUE"""),"")</f>
        <v/>
      </c>
      <c r="P283" s="67">
        <f>IFERROR(__xludf.DUMMYFUNCTION("""COMPUTED_VALUE"""),44244.0)</f>
        <v>44244</v>
      </c>
      <c r="Q283" s="68">
        <f>IFERROR(__xludf.DUMMYFUNCTION("""COMPUTED_VALUE"""),300.0)</f>
        <v>300</v>
      </c>
      <c r="R283" s="85" t="str">
        <f>IFERROR(__xludf.DUMMYFUNCTION("""COMPUTED_VALUE"""),"Citigroup, Barclays")</f>
        <v>Citigroup, Barclays</v>
      </c>
      <c r="S283" s="64">
        <f>IFERROR(__xludf.DUMMYFUNCTION("""COMPUTED_VALUE"""),44974.0)</f>
        <v>44974</v>
      </c>
      <c r="T283" s="70">
        <f>IFERROR(__xludf.DUMMYFUNCTION("""COMPUTED_VALUE"""),0.07123287671232877)</f>
        <v>0.07123287671</v>
      </c>
      <c r="U283" s="71" t="str">
        <f>IFERROR(__xludf.DUMMYFUNCTION("""COMPUTED_VALUE"""),"https://www.sec.gov/cgi-bin/browse-edgar?CIK=1834336")</f>
        <v>https://www.sec.gov/cgi-bin/browse-edgar?CIK=1834336</v>
      </c>
      <c r="V283" s="72" t="str">
        <f>IFERROR(__xludf.DUMMYFUNCTION("""COMPUTED_VALUE"""),"           Top Tier UW ")</f>
        <v>           Top Tier UW </v>
      </c>
      <c r="W283" s="73"/>
      <c r="X283" s="74"/>
      <c r="Y283" s="75"/>
      <c r="Z283" s="60"/>
      <c r="AA283" s="60"/>
      <c r="AB283" s="60"/>
      <c r="AC283" s="60"/>
      <c r="AD283" s="73"/>
      <c r="AE283" s="73"/>
      <c r="AF283" s="76"/>
      <c r="AG283" s="60" t="str">
        <f>IFERROR(__xludf.DUMMYFUNCTION("""COMPUTED_VALUE"""),"")</f>
        <v/>
      </c>
    </row>
    <row r="284">
      <c r="A284" s="54" t="str">
        <f>IFERROR(__xludf.DUMMYFUNCTION("""COMPUTED_VALUE"""),"FSSI")</f>
        <v>FSSI</v>
      </c>
      <c r="B284" s="55" t="str">
        <f>IFERROR(__xludf.DUMMYFUNCTION("""COMPUTED_VALUE"""),"Fortistar Sustainable Solutions Corp.")</f>
        <v>Fortistar Sustainable Solutions Corp.</v>
      </c>
      <c r="C284" s="56" t="str">
        <f>IFERROR(__xludf.DUMMYFUNCTION("""COMPUTED_VALUE"""),"Searching")</f>
        <v>Searching</v>
      </c>
      <c r="D284" s="57" t="str">
        <f>IFERROR(__xludf.DUMMYFUNCTION("""COMPUTED_VALUE"""),"Sustainable Energy, Infrastructure, Transportation")</f>
        <v>Sustainable Energy, Infrastructure, Transportation</v>
      </c>
      <c r="E284" s="58"/>
      <c r="F284" s="59" t="str">
        <f>IFERROR(__xludf.DUMMYFUNCTION("""COMPUTED_VALUE"""),"Mark Comora (Founder/President, Fortistar), Mark Little (Fmr CTO, GE)")</f>
        <v>Mark Comora (Founder/President, Fortistar), Mark Little (Fmr CTO, GE)</v>
      </c>
      <c r="G284" s="60">
        <f>IFERROR(__xludf.DUMMYFUNCTION("""COMPUTED_VALUE"""),2.5875E8)</f>
        <v>258750000</v>
      </c>
      <c r="H284" s="60">
        <f>IFERROR(__xludf.DUMMYFUNCTION("""COMPUTED_VALUE"""),2.5875E8)</f>
        <v>258750000</v>
      </c>
      <c r="I284" s="61">
        <f>IFERROR(__xludf.DUMMYFUNCTION("""COMPUTED_VALUE"""),10.0)</f>
        <v>10</v>
      </c>
      <c r="J284" s="62">
        <f>IFERROR(__xludf.DUMMYFUNCTION("""COMPUTED_VALUE"""),0.00908)</f>
        <v>0.00908</v>
      </c>
      <c r="K284" s="59">
        <f>IFERROR(__xludf.DUMMYFUNCTION("""COMPUTED_VALUE"""),10.55)</f>
        <v>10.55</v>
      </c>
      <c r="L284" s="63">
        <f>IFERROR(__xludf.DUMMYFUNCTION("""COMPUTED_VALUE"""),1.15)</f>
        <v>1.15</v>
      </c>
      <c r="M284" s="64" t="str">
        <f>IFERROR(__xludf.DUMMYFUNCTION("""COMPUTED_VALUE"""),"U: [1/2 W]; W: [1:1, $11.5]")</f>
        <v>U: [1/2 W]; W: [1:1, $11.5]</v>
      </c>
      <c r="N284" s="65" t="str">
        <f>IFERROR(__xludf.DUMMYFUNCTION("""COMPUTED_VALUE"""),"")</f>
        <v/>
      </c>
      <c r="O284" s="66">
        <f>IFERROR(__xludf.DUMMYFUNCTION("""COMPUTED_VALUE"""),0.0)</f>
        <v>0</v>
      </c>
      <c r="P284" s="67">
        <f>IFERROR(__xludf.DUMMYFUNCTION("""COMPUTED_VALUE"""),44222.0)</f>
        <v>44222</v>
      </c>
      <c r="Q284" s="68">
        <f>IFERROR(__xludf.DUMMYFUNCTION("""COMPUTED_VALUE"""),258.75)</f>
        <v>258.75</v>
      </c>
      <c r="R284" s="85" t="str">
        <f>IFERROR(__xludf.DUMMYFUNCTION("""COMPUTED_VALUE"""),"Credit Suisse, BofA Securities")</f>
        <v>Credit Suisse, BofA Securities</v>
      </c>
      <c r="S284" s="64">
        <f>IFERROR(__xludf.DUMMYFUNCTION("""COMPUTED_VALUE"""),44952.0)</f>
        <v>44952</v>
      </c>
      <c r="T284" s="70">
        <f>IFERROR(__xludf.DUMMYFUNCTION("""COMPUTED_VALUE"""),0.10136986301369863)</f>
        <v>0.101369863</v>
      </c>
      <c r="U284" s="71" t="str">
        <f>IFERROR(__xludf.DUMMYFUNCTION("""COMPUTED_VALUE"""),"https://www.sec.gov/cgi-bin/browse-edgar?CIK=1822862")</f>
        <v>https://www.sec.gov/cgi-bin/browse-edgar?CIK=1822862</v>
      </c>
      <c r="V284" s="72" t="str">
        <f>IFERROR(__xludf.DUMMYFUNCTION("""COMPUTED_VALUE""")," Trading Below $10 (Common)          Top Tier UW ")</f>
        <v> Trading Below $10 (Common)          Top Tier UW </v>
      </c>
      <c r="W284" s="73"/>
      <c r="X284" s="74"/>
      <c r="Y284" s="75"/>
      <c r="Z284" s="60"/>
      <c r="AA284" s="60"/>
      <c r="AB284" s="60"/>
      <c r="AC284" s="60"/>
      <c r="AD284" s="73"/>
      <c r="AE284" s="73"/>
      <c r="AF284" s="76"/>
      <c r="AG284" s="60" t="str">
        <f>IFERROR(__xludf.DUMMYFUNCTION("""COMPUTED_VALUE"""),"")</f>
        <v/>
      </c>
    </row>
    <row r="285">
      <c r="A285" s="54" t="str">
        <f>IFERROR(__xludf.DUMMYFUNCTION("""COMPUTED_VALUE"""),"FST")</f>
        <v>FST</v>
      </c>
      <c r="B285" s="55" t="str">
        <f>IFERROR(__xludf.DUMMYFUNCTION("""COMPUTED_VALUE"""),"FAST Acquisition Corp. ")</f>
        <v>FAST Acquisition Corp. </v>
      </c>
      <c r="C285" s="56" t="str">
        <f>IFERROR(__xludf.DUMMYFUNCTION("""COMPUTED_VALUE"""),"Definitive Agreement")</f>
        <v>Definitive Agreement</v>
      </c>
      <c r="D285" s="57" t="str">
        <f>IFERROR(__xludf.DUMMYFUNCTION("""COMPUTED_VALUE"""),"Restaurant, Hospitality")</f>
        <v>Restaurant, Hospitality</v>
      </c>
      <c r="E285" s="58" t="str">
        <f>IFERROR(__xludf.DUMMYFUNCTION("""COMPUTED_VALUE"""),"Fertitta Entertainment [DA: 02/01/21]")</f>
        <v>Fertitta Entertainment [DA: 02/01/21]</v>
      </c>
      <c r="F285" s="59" t="str">
        <f>IFERROR(__xludf.DUMMYFUNCTION("""COMPUTED_VALUE"""),"Sandy Beall (Founder, Ruby Tuesday), Kevin Reddy (Former COO of Chipotle and CEO of Noodles &amp; Company), Ndamukong Suh (NFL player)")</f>
        <v>Sandy Beall (Founder, Ruby Tuesday), Kevin Reddy (Former COO of Chipotle and CEO of Noodles &amp; Company), Ndamukong Suh (NFL player)</v>
      </c>
      <c r="G285" s="60">
        <f>IFERROR(__xludf.DUMMYFUNCTION("""COMPUTED_VALUE"""),2.00067535E8)</f>
        <v>200067535</v>
      </c>
      <c r="H285" s="60">
        <f>IFERROR(__xludf.DUMMYFUNCTION("""COMPUTED_VALUE"""),2.52E8)</f>
        <v>252000000</v>
      </c>
      <c r="I285" s="61">
        <f>IFERROR(__xludf.DUMMYFUNCTION("""COMPUTED_VALUE"""),12.6)</f>
        <v>12.6</v>
      </c>
      <c r="J285" s="62">
        <f>IFERROR(__xludf.DUMMYFUNCTION("""COMPUTED_VALUE"""),-0.01408)</f>
        <v>-0.01408</v>
      </c>
      <c r="K285" s="59">
        <f>IFERROR(__xludf.DUMMYFUNCTION("""COMPUTED_VALUE"""),14.09)</f>
        <v>14.09</v>
      </c>
      <c r="L285" s="63">
        <f>IFERROR(__xludf.DUMMYFUNCTION("""COMPUTED_VALUE"""),3.2)</f>
        <v>3.2</v>
      </c>
      <c r="M285" s="64" t="str">
        <f>IFERROR(__xludf.DUMMYFUNCTION("""COMPUTED_VALUE"""),"U: [1/2 W]; W: [1:1, $11.5]")</f>
        <v>U: [1/2 W]; W: [1:1, $11.5]</v>
      </c>
      <c r="N285" s="65" t="str">
        <f>IFERROR(__xludf.DUMMYFUNCTION("""COMPUTED_VALUE"""),"")</f>
        <v/>
      </c>
      <c r="O285" s="66">
        <f>IFERROR(__xludf.DUMMYFUNCTION("""COMPUTED_VALUE"""),1.0999999999999996)</f>
        <v>1.1</v>
      </c>
      <c r="P285" s="67">
        <f>IFERROR(__xludf.DUMMYFUNCTION("""COMPUTED_VALUE"""),44063.0)</f>
        <v>44063</v>
      </c>
      <c r="Q285" s="68">
        <f>IFERROR(__xludf.DUMMYFUNCTION("""COMPUTED_VALUE"""),200.0)</f>
        <v>200</v>
      </c>
      <c r="R285" s="85" t="str">
        <f>IFERROR(__xludf.DUMMYFUNCTION("""COMPUTED_VALUE"""),"Citigroup, UBS, Odeon")</f>
        <v>Citigroup, UBS, Odeon</v>
      </c>
      <c r="S285" s="64">
        <f>IFERROR(__xludf.DUMMYFUNCTION("""COMPUTED_VALUE"""),44793.0)</f>
        <v>44793</v>
      </c>
      <c r="T285" s="70">
        <f>IFERROR(__xludf.DUMMYFUNCTION("""COMPUTED_VALUE"""),0.31917808219178084)</f>
        <v>0.3191780822</v>
      </c>
      <c r="U285" s="71" t="str">
        <f>IFERROR(__xludf.DUMMYFUNCTION("""COMPUTED_VALUE"""),"https://www.sec.gov/cgi-bin/browse-edgar?CIK=1815737")</f>
        <v>https://www.sec.gov/cgi-bin/browse-edgar?CIK=1815737</v>
      </c>
      <c r="V285" s="72" t="str">
        <f>IFERROR(__xludf.DUMMYFUNCTION("""COMPUTED_VALUE"""),"     Optionable    Well-known Sponsor  Top Tier UW ")</f>
        <v>     Optionable    Well-known Sponsor  Top Tier UW </v>
      </c>
      <c r="W285" s="73">
        <f>IFERROR(__xludf.DUMMYFUNCTION("""COMPUTED_VALUE"""),44228.0)</f>
        <v>44228</v>
      </c>
      <c r="X285" s="79">
        <f>IFERROR(__xludf.DUMMYFUNCTION("""COMPUTED_VALUE"""),5.5)</f>
        <v>5.5</v>
      </c>
      <c r="Y285" s="80" t="str">
        <f>IFERROR(__xludf.DUMMYFUNCTION("""COMPUTED_VALUE"""),"https://www.prnewswire.com/news-releases/tilman-fertitta-enters-into-deal-to-take-golden-nuggetlandrys-public-301218700.html")</f>
        <v>https://www.prnewswire.com/news-releases/tilman-fertitta-enters-into-deal-to-take-golden-nuggetlandrys-public-301218700.html</v>
      </c>
      <c r="Z285" s="81" t="str">
        <f>IFERROR(__xludf.DUMMYFUNCTION("""COMPUTED_VALUE"""),"https://www.sec.gov/Archives/edgar/data/1815737/000121390021005581/ea134280ex99-2_fastacq.htm")</f>
        <v>https://www.sec.gov/Archives/edgar/data/1815737/000121390021005581/ea134280ex99-2_fastacq.htm</v>
      </c>
      <c r="AA285" s="60">
        <f>IFERROR(__xludf.DUMMYFUNCTION("""COMPUTED_VALUE"""),1.24E9)</f>
        <v>1240000000</v>
      </c>
      <c r="AB285" s="60">
        <f>IFERROR(__xludf.DUMMYFUNCTION("""COMPUTED_VALUE"""),3.583E9)</f>
        <v>3583000000</v>
      </c>
      <c r="AC285" s="60">
        <f>IFERROR(__xludf.DUMMYFUNCTION("""COMPUTED_VALUE"""),6.6E9)</f>
        <v>6600000000</v>
      </c>
      <c r="AD285" s="73"/>
      <c r="AE285" s="73"/>
      <c r="AF285" s="76">
        <f>IFERROR(__xludf.DUMMYFUNCTION("""COMPUTED_VALUE"""),3.583E8)</f>
        <v>358300000</v>
      </c>
      <c r="AG285" s="60">
        <f>IFERROR(__xludf.DUMMYFUNCTION("""COMPUTED_VALUE"""),4.51458E9)</f>
        <v>4514580000</v>
      </c>
    </row>
    <row r="286">
      <c r="A286" s="54" t="str">
        <f>IFERROR(__xludf.DUMMYFUNCTION("""COMPUTED_VALUE"""),"FTAA")</f>
        <v>FTAA</v>
      </c>
      <c r="B286" s="55" t="str">
        <f>IFERROR(__xludf.DUMMYFUNCTION("""COMPUTED_VALUE"""),"FTAC Athena Acquisition Corp.")</f>
        <v>FTAC Athena Acquisition Corp.</v>
      </c>
      <c r="C286" s="56" t="str">
        <f>IFERROR(__xludf.DUMMYFUNCTION("""COMPUTED_VALUE"""),"Searching (Pre Unit Split)")</f>
        <v>Searching (Pre Unit Split)</v>
      </c>
      <c r="D286" s="57" t="str">
        <f>IFERROR(__xludf.DUMMYFUNCTION("""COMPUTED_VALUE"""),"Tech, Fintech")</f>
        <v>Tech, Fintech</v>
      </c>
      <c r="E286" s="58"/>
      <c r="F286" s="59" t="str">
        <f>IFERROR(__xludf.DUMMYFUNCTION("""COMPUTED_VALUE"""),"Betsy Cohen (Founder/Fmr CEO Bancorp; Director, FinTech Acquisition I, II, III), Amanda Abrams (Managing Director, Cohen &amp; Co),")</f>
        <v>Betsy Cohen (Founder/Fmr CEO Bancorp; Director, FinTech Acquisition I, II, III), Amanda Abrams (Managing Director, Cohen &amp; Co),</v>
      </c>
      <c r="G286" s="60">
        <f>IFERROR(__xludf.DUMMYFUNCTION("""COMPUTED_VALUE"""),2.5E8)</f>
        <v>250000000</v>
      </c>
      <c r="H286" s="60" t="str">
        <f>IFERROR(__xludf.DUMMYFUNCTION("""COMPUTED_VALUE""")," ")</f>
        <v> </v>
      </c>
      <c r="I286" s="61" t="str">
        <f>IFERROR(__xludf.DUMMYFUNCTION("""COMPUTED_VALUE""")," ")</f>
        <v> </v>
      </c>
      <c r="J286" s="62" t="str">
        <f>IFERROR(__xludf.DUMMYFUNCTION("""COMPUTED_VALUE""")," ")</f>
        <v> </v>
      </c>
      <c r="K286" s="59">
        <f>IFERROR(__xludf.DUMMYFUNCTION("""COMPUTED_VALUE"""),10.205)</f>
        <v>10.205</v>
      </c>
      <c r="L286" s="63" t="str">
        <f>IFERROR(__xludf.DUMMYFUNCTION("""COMPUTED_VALUE""")," ")</f>
        <v> </v>
      </c>
      <c r="M286" s="64" t="str">
        <f>IFERROR(__xludf.DUMMYFUNCTION("""COMPUTED_VALUE"""),"U: [1/4 W]; W: [1:1, $11.5]")</f>
        <v>U: [1/4 W]; W: [1:1, $11.5]</v>
      </c>
      <c r="N286" s="65">
        <f>IFERROR(__xludf.DUMMYFUNCTION("""COMPUTED_VALUE"""),44301.0)</f>
        <v>44301</v>
      </c>
      <c r="O286" s="66" t="str">
        <f>IFERROR(__xludf.DUMMYFUNCTION("""COMPUTED_VALUE"""),"")</f>
        <v/>
      </c>
      <c r="P286" s="67">
        <f>IFERROR(__xludf.DUMMYFUNCTION("""COMPUTED_VALUE"""),44249.0)</f>
        <v>44249</v>
      </c>
      <c r="Q286" s="68">
        <f>IFERROR(__xludf.DUMMYFUNCTION("""COMPUTED_VALUE"""),250.0)</f>
        <v>250</v>
      </c>
      <c r="R286" s="85" t="str">
        <f>IFERROR(__xludf.DUMMYFUNCTION("""COMPUTED_VALUE"""),"Cantor")</f>
        <v>Cantor</v>
      </c>
      <c r="S286" s="64">
        <f>IFERROR(__xludf.DUMMYFUNCTION("""COMPUTED_VALUE"""),44979.0)</f>
        <v>44979</v>
      </c>
      <c r="T286" s="70">
        <f>IFERROR(__xludf.DUMMYFUNCTION("""COMPUTED_VALUE"""),0.06438356164383562)</f>
        <v>0.06438356164</v>
      </c>
      <c r="U286" s="71" t="str">
        <f>IFERROR(__xludf.DUMMYFUNCTION("""COMPUTED_VALUE"""),"https://www.sec.gov/cgi-bin/browse-edgar?CIK=1832696")</f>
        <v>https://www.sec.gov/cgi-bin/browse-edgar?CIK=1832696</v>
      </c>
      <c r="V286" s="72" t="str">
        <f>IFERROR(__xludf.DUMMYFUNCTION("""COMPUTED_VALUE"""),"          Serial Sponsor  ")</f>
        <v>          Serial Sponsor  </v>
      </c>
      <c r="W286" s="73"/>
      <c r="X286" s="74"/>
      <c r="Y286" s="75"/>
      <c r="Z286" s="60"/>
      <c r="AA286" s="60"/>
      <c r="AB286" s="60"/>
      <c r="AC286" s="60"/>
      <c r="AD286" s="73"/>
      <c r="AE286" s="73"/>
      <c r="AF286" s="76"/>
      <c r="AG286" s="60" t="str">
        <f>IFERROR(__xludf.DUMMYFUNCTION("""COMPUTED_VALUE"""),"")</f>
        <v/>
      </c>
    </row>
    <row r="287">
      <c r="A287" s="54" t="str">
        <f>IFERROR(__xludf.DUMMYFUNCTION("""COMPUTED_VALUE"""),"FTCV")</f>
        <v>FTCV</v>
      </c>
      <c r="B287" s="55" t="str">
        <f>IFERROR(__xludf.DUMMYFUNCTION("""COMPUTED_VALUE"""),"FinTech Acquisition Corp V")</f>
        <v>FinTech Acquisition Corp V</v>
      </c>
      <c r="C287" s="56" t="str">
        <f>IFERROR(__xludf.DUMMYFUNCTION("""COMPUTED_VALUE"""),"Definitive Agreement")</f>
        <v>Definitive Agreement</v>
      </c>
      <c r="D287" s="57" t="str">
        <f>IFERROR(__xludf.DUMMYFUNCTION("""COMPUTED_VALUE"""),"Fintech")</f>
        <v>Fintech</v>
      </c>
      <c r="E287" s="58" t="str">
        <f>IFERROR(__xludf.DUMMYFUNCTION("""COMPUTED_VALUE"""),"EToro [DA: 03/16/21]")</f>
        <v>EToro [DA: 03/16/21]</v>
      </c>
      <c r="F287" s="59" t="str">
        <f>IFERROR(__xludf.DUMMYFUNCTION("""COMPUTED_VALUE"""),"Betsy Cohen (Founder/Fmr CEO Bancorp), Daniel Cohen")</f>
        <v>Betsy Cohen (Founder/Fmr CEO Bancorp), Daniel Cohen</v>
      </c>
      <c r="G287" s="60">
        <f>IFERROR(__xludf.DUMMYFUNCTION("""COMPUTED_VALUE"""),2.5E8)</f>
        <v>250000000</v>
      </c>
      <c r="H287" s="60">
        <f>IFERROR(__xludf.DUMMYFUNCTION("""COMPUTED_VALUE"""),3.712672E8)</f>
        <v>371267200</v>
      </c>
      <c r="I287" s="61">
        <f>IFERROR(__xludf.DUMMYFUNCTION("""COMPUTED_VALUE"""),14.48)</f>
        <v>14.48</v>
      </c>
      <c r="J287" s="62">
        <f>IFERROR(__xludf.DUMMYFUNCTION("""COMPUTED_VALUE"""),0.06003)</f>
        <v>0.06003</v>
      </c>
      <c r="K287" s="59">
        <f>IFERROR(__xludf.DUMMYFUNCTION("""COMPUTED_VALUE"""),15.88)</f>
        <v>15.88</v>
      </c>
      <c r="L287" s="63">
        <f>IFERROR(__xludf.DUMMYFUNCTION("""COMPUTED_VALUE"""),4.88)</f>
        <v>4.88</v>
      </c>
      <c r="M287" s="64" t="str">
        <f>IFERROR(__xludf.DUMMYFUNCTION("""COMPUTED_VALUE"""),"U: [1/3 W]; W: [1:1, $11.5]")</f>
        <v>U: [1/3 W]; W: [1:1, $11.5]</v>
      </c>
      <c r="N287" s="65" t="str">
        <f>IFERROR(__xludf.DUMMYFUNCTION("""COMPUTED_VALUE"""),"")</f>
        <v/>
      </c>
      <c r="O287" s="66">
        <f>IFERROR(__xludf.DUMMYFUNCTION("""COMPUTED_VALUE"""),2.9800000000000004)</f>
        <v>2.98</v>
      </c>
      <c r="P287" s="67">
        <f>IFERROR(__xludf.DUMMYFUNCTION("""COMPUTED_VALUE"""),44169.0)</f>
        <v>44169</v>
      </c>
      <c r="Q287" s="68">
        <f>IFERROR(__xludf.DUMMYFUNCTION("""COMPUTED_VALUE"""),250.0)</f>
        <v>250</v>
      </c>
      <c r="R287" s="85" t="str">
        <f>IFERROR(__xludf.DUMMYFUNCTION("""COMPUTED_VALUE"""),"Cantor")</f>
        <v>Cantor</v>
      </c>
      <c r="S287" s="64">
        <f>IFERROR(__xludf.DUMMYFUNCTION("""COMPUTED_VALUE"""),44899.0)</f>
        <v>44899</v>
      </c>
      <c r="T287" s="70">
        <f>IFERROR(__xludf.DUMMYFUNCTION("""COMPUTED_VALUE"""),0.17397260273972603)</f>
        <v>0.1739726027</v>
      </c>
      <c r="U287" s="71" t="str">
        <f>IFERROR(__xludf.DUMMYFUNCTION("""COMPUTED_VALUE"""),"https://www.sec.gov/cgi-bin/browse-edgar?CIK=1829328")</f>
        <v>https://www.sec.gov/cgi-bin/browse-edgar?CIK=1829328</v>
      </c>
      <c r="V287" s="72" t="str">
        <f>IFERROR(__xludf.DUMMYFUNCTION("""COMPUTED_VALUE"""),"     Optionable     Serial Sponsor  ")</f>
        <v>     Optionable     Serial Sponsor  </v>
      </c>
      <c r="W287" s="73">
        <f>IFERROR(__xludf.DUMMYFUNCTION("""COMPUTED_VALUE"""),44271.0)</f>
        <v>44271</v>
      </c>
      <c r="X287" s="79">
        <f>IFERROR(__xludf.DUMMYFUNCTION("""COMPUTED_VALUE"""),3.4)</f>
        <v>3.4</v>
      </c>
      <c r="Y287" s="80" t="str">
        <f>IFERROR(__xludf.DUMMYFUNCTION("""COMPUTED_VALUE"""),"https://www.globenewswire.com/news-release/2021/03/16/2193475/0/en/eToro-the-world-s-leading-social-investment-network-to-become-publicly-traded-through-business-combination-with-FinTech-Acquisition-Corp-V.html")</f>
        <v>https://www.globenewswire.com/news-release/2021/03/16/2193475/0/en/eToro-the-world-s-leading-social-investment-network-to-become-publicly-traded-through-business-combination-with-FinTech-Acquisition-Corp-V.html</v>
      </c>
      <c r="Z287" s="81" t="str">
        <f>IFERROR(__xludf.DUMMYFUNCTION("""COMPUTED_VALUE"""),"https://www.sec.gov/Archives/edgar/data/1829328/000121390021015541/ea137642ex99-1_fintechacq5.htm")</f>
        <v>https://www.sec.gov/Archives/edgar/data/1829328/000121390021015541/ea137642ex99-1_fintechacq5.htm</v>
      </c>
      <c r="AA287" s="60"/>
      <c r="AB287" s="60">
        <f>IFERROR(__xludf.DUMMYFUNCTION("""COMPUTED_VALUE"""),1.0391E10)</f>
        <v>10391000000</v>
      </c>
      <c r="AC287" s="60">
        <f>IFERROR(__xludf.DUMMYFUNCTION("""COMPUTED_VALUE"""),9.595E9)</f>
        <v>9595000000</v>
      </c>
      <c r="AD287" s="73"/>
      <c r="AE287" s="73"/>
      <c r="AF287" s="76">
        <f>IFERROR(__xludf.DUMMYFUNCTION("""COMPUTED_VALUE"""),1.0391E9)</f>
        <v>1039100000</v>
      </c>
      <c r="AG287" s="60">
        <f>IFERROR(__xludf.DUMMYFUNCTION("""COMPUTED_VALUE"""),1.5046168E10)</f>
        <v>15046168000</v>
      </c>
    </row>
    <row r="288">
      <c r="A288" s="54" t="str">
        <f>IFERROR(__xludf.DUMMYFUNCTION("""COMPUTED_VALUE"""),"FTEV")</f>
        <v>FTEV</v>
      </c>
      <c r="B288" s="55" t="str">
        <f>IFERROR(__xludf.DUMMYFUNCTION("""COMPUTED_VALUE"""),"FinTech Evolution Acquisition Group")</f>
        <v>FinTech Evolution Acquisition Group</v>
      </c>
      <c r="C288" s="56" t="str">
        <f>IFERROR(__xludf.DUMMYFUNCTION("""COMPUTED_VALUE"""),"Searching (Pre Unit Split)")</f>
        <v>Searching (Pre Unit Split)</v>
      </c>
      <c r="D288" s="57" t="str">
        <f>IFERROR(__xludf.DUMMYFUNCTION("""COMPUTED_VALUE"""),"Fintech")</f>
        <v>Fintech</v>
      </c>
      <c r="E288" s="58"/>
      <c r="F288" s="59" t="str">
        <f>IFERROR(__xludf.DUMMYFUNCTION("""COMPUTED_VALUE"""),"Rohit Bhagat (Fmr Vice Chairman, BlackRock)")</f>
        <v>Rohit Bhagat (Fmr Vice Chairman, BlackRock)</v>
      </c>
      <c r="G288" s="60">
        <f>IFERROR(__xludf.DUMMYFUNCTION("""COMPUTED_VALUE"""),2.4E8)</f>
        <v>240000000</v>
      </c>
      <c r="H288" s="60" t="str">
        <f>IFERROR(__xludf.DUMMYFUNCTION("""COMPUTED_VALUE""")," ")</f>
        <v> </v>
      </c>
      <c r="I288" s="61" t="str">
        <f>IFERROR(__xludf.DUMMYFUNCTION("""COMPUTED_VALUE""")," ")</f>
        <v> </v>
      </c>
      <c r="J288" s="62" t="str">
        <f>IFERROR(__xludf.DUMMYFUNCTION("""COMPUTED_VALUE""")," ")</f>
        <v> </v>
      </c>
      <c r="K288" s="59">
        <f>IFERROR(__xludf.DUMMYFUNCTION("""COMPUTED_VALUE"""),10.05)</f>
        <v>10.05</v>
      </c>
      <c r="L288" s="63" t="str">
        <f>IFERROR(__xludf.DUMMYFUNCTION("""COMPUTED_VALUE""")," ")</f>
        <v> </v>
      </c>
      <c r="M288" s="64" t="str">
        <f>IFERROR(__xludf.DUMMYFUNCTION("""COMPUTED_VALUE"""),"U: [1/3 W]; W: [1:1, $11.5]")</f>
        <v>U: [1/3 W]; W: [1:1, $11.5]</v>
      </c>
      <c r="N288" s="65">
        <f>IFERROR(__xludf.DUMMYFUNCTION("""COMPUTED_VALUE"""),44308.0)</f>
        <v>44308</v>
      </c>
      <c r="O288" s="66" t="str">
        <f>IFERROR(__xludf.DUMMYFUNCTION("""COMPUTED_VALUE"""),"")</f>
        <v/>
      </c>
      <c r="P288" s="67">
        <f>IFERROR(__xludf.DUMMYFUNCTION("""COMPUTED_VALUE"""),44256.0)</f>
        <v>44256</v>
      </c>
      <c r="Q288" s="68">
        <f>IFERROR(__xludf.DUMMYFUNCTION("""COMPUTED_VALUE"""),240.0)</f>
        <v>240</v>
      </c>
      <c r="R288" s="85" t="str">
        <f>IFERROR(__xludf.DUMMYFUNCTION("""COMPUTED_VALUE"""),"UBS Investment Bank")</f>
        <v>UBS Investment Bank</v>
      </c>
      <c r="S288" s="64">
        <f>IFERROR(__xludf.DUMMYFUNCTION("""COMPUTED_VALUE"""),44986.0)</f>
        <v>44986</v>
      </c>
      <c r="T288" s="70">
        <f>IFERROR(__xludf.DUMMYFUNCTION("""COMPUTED_VALUE"""),0.0547945205479452)</f>
        <v>0.05479452055</v>
      </c>
      <c r="U288" s="71" t="str">
        <f>IFERROR(__xludf.DUMMYFUNCTION("""COMPUTED_VALUE"""),"https://www.sec.gov/cgi-bin/browse-edgar?CIK=1839569")</f>
        <v>https://www.sec.gov/cgi-bin/browse-edgar?CIK=1839569</v>
      </c>
      <c r="V288" s="72" t="str">
        <f>IFERROR(__xludf.DUMMYFUNCTION("""COMPUTED_VALUE"""),"            ")</f>
        <v>            </v>
      </c>
      <c r="W288" s="73"/>
      <c r="X288" s="74"/>
      <c r="Y288" s="75"/>
      <c r="Z288" s="60"/>
      <c r="AA288" s="60"/>
      <c r="AB288" s="60"/>
      <c r="AC288" s="60"/>
      <c r="AD288" s="73"/>
      <c r="AE288" s="73"/>
      <c r="AF288" s="76"/>
      <c r="AG288" s="60"/>
    </row>
    <row r="289">
      <c r="A289" s="54" t="str">
        <f>IFERROR(__xludf.DUMMYFUNCTION("""COMPUTED_VALUE"""),"FTIV")</f>
        <v>FTIV</v>
      </c>
      <c r="B289" s="55" t="str">
        <f>IFERROR(__xludf.DUMMYFUNCTION("""COMPUTED_VALUE"""),"FinTech Acquisition Corp. IV")</f>
        <v>FinTech Acquisition Corp. IV</v>
      </c>
      <c r="C289" s="56" t="str">
        <f>IFERROR(__xludf.DUMMYFUNCTION("""COMPUTED_VALUE"""),"Definitive Agreement")</f>
        <v>Definitive Agreement</v>
      </c>
      <c r="D289" s="57" t="str">
        <f>IFERROR(__xludf.DUMMYFUNCTION("""COMPUTED_VALUE"""),"Fintech")</f>
        <v>Fintech</v>
      </c>
      <c r="E289" s="58" t="str">
        <f>IFERROR(__xludf.DUMMYFUNCTION("""COMPUTED_VALUE"""),"Perella Weinberg Partners [DA: 12/30/20]")</f>
        <v>Perella Weinberg Partners [DA: 12/30/20]</v>
      </c>
      <c r="F289" s="59" t="str">
        <f>IFERROR(__xludf.DUMMYFUNCTION("""COMPUTED_VALUE"""),"Betsy Cohen (Founder/Fmr CEO Bancorp), Daniel Cohen")</f>
        <v>Betsy Cohen (Founder/Fmr CEO Bancorp), Daniel Cohen</v>
      </c>
      <c r="G289" s="60">
        <f>IFERROR(__xludf.DUMMYFUNCTION("""COMPUTED_VALUE"""),2.30000063E8)</f>
        <v>230000063</v>
      </c>
      <c r="H289" s="60">
        <f>IFERROR(__xludf.DUMMYFUNCTION("""COMPUTED_VALUE"""),2.578212E8)</f>
        <v>257821200</v>
      </c>
      <c r="I289" s="61">
        <f>IFERROR(__xludf.DUMMYFUNCTION("""COMPUTED_VALUE"""),10.92)</f>
        <v>10.92</v>
      </c>
      <c r="J289" s="62">
        <f>IFERROR(__xludf.DUMMYFUNCTION("""COMPUTED_VALUE"""),-0.00183)</f>
        <v>-0.00183</v>
      </c>
      <c r="K289" s="59">
        <f>IFERROR(__xludf.DUMMYFUNCTION("""COMPUTED_VALUE"""),10.76)</f>
        <v>10.76</v>
      </c>
      <c r="L289" s="63">
        <f>IFERROR(__xludf.DUMMYFUNCTION("""COMPUTED_VALUE"""),1.4)</f>
        <v>1.4</v>
      </c>
      <c r="M289" s="64" t="str">
        <f>IFERROR(__xludf.DUMMYFUNCTION("""COMPUTED_VALUE"""),"U: [1/3 W]; W: [1:1, $11.5]")</f>
        <v>U: [1/3 W]; W: [1:1, $11.5]</v>
      </c>
      <c r="N289" s="65" t="str">
        <f>IFERROR(__xludf.DUMMYFUNCTION("""COMPUTED_VALUE"""),"")</f>
        <v/>
      </c>
      <c r="O289" s="66">
        <f>IFERROR(__xludf.DUMMYFUNCTION("""COMPUTED_VALUE"""),0.0)</f>
        <v>0</v>
      </c>
      <c r="P289" s="67">
        <f>IFERROR(__xludf.DUMMYFUNCTION("""COMPUTED_VALUE"""),44098.0)</f>
        <v>44098</v>
      </c>
      <c r="Q289" s="68">
        <f>IFERROR(__xludf.DUMMYFUNCTION("""COMPUTED_VALUE"""),230.0)</f>
        <v>230</v>
      </c>
      <c r="R289" s="85" t="str">
        <f>IFERROR(__xludf.DUMMYFUNCTION("""COMPUTED_VALUE"""),"Cantor")</f>
        <v>Cantor</v>
      </c>
      <c r="S289" s="64">
        <f>IFERROR(__xludf.DUMMYFUNCTION("""COMPUTED_VALUE"""),44828.0)</f>
        <v>44828</v>
      </c>
      <c r="T289" s="70">
        <f>IFERROR(__xludf.DUMMYFUNCTION("""COMPUTED_VALUE"""),0.27123287671232876)</f>
        <v>0.2712328767</v>
      </c>
      <c r="U289" s="71" t="str">
        <f>IFERROR(__xludf.DUMMYFUNCTION("""COMPUTED_VALUE"""),"https://www.sec.gov/cgi-bin/browse-edgar?CIK=1777835")</f>
        <v>https://www.sec.gov/cgi-bin/browse-edgar?CIK=1777835</v>
      </c>
      <c r="V289" s="72" t="str">
        <f>IFERROR(__xludf.DUMMYFUNCTION("""COMPUTED_VALUE"""),"          Serial Sponsor  ")</f>
        <v>          Serial Sponsor  </v>
      </c>
      <c r="W289" s="73">
        <f>IFERROR(__xludf.DUMMYFUNCTION("""COMPUTED_VALUE"""),44195.0)</f>
        <v>44195</v>
      </c>
      <c r="X289" s="79">
        <f>IFERROR(__xludf.DUMMYFUNCTION("""COMPUTED_VALUE"""),3.2333333333333334)</f>
        <v>3.233333333</v>
      </c>
      <c r="Y289" s="80" t="str">
        <f>IFERROR(__xludf.DUMMYFUNCTION("""COMPUTED_VALUE"""),"https://www.businesswire.com/news/home/20201230005136/en/Perella-Weinberg-Partners-and-FinTech-IV-Announce-Execution-of-Definitive-Business-Combination-Agreement")</f>
        <v>https://www.businesswire.com/news/home/20201230005136/en/Perella-Weinberg-Partners-and-FinTech-IV-Announce-Execution-of-Definitive-Business-Combination-Agreement</v>
      </c>
      <c r="Z289" s="81" t="str">
        <f>IFERROR(__xludf.DUMMYFUNCTION("""COMPUTED_VALUE"""),"https://www.sec.gov/Archives/edgar/data/1777835/000121390020045277/ea132406ex99-3_fintechacq4.htm")</f>
        <v>https://www.sec.gov/Archives/edgar/data/1777835/000121390020045277/ea132406ex99-3_fintechacq4.htm</v>
      </c>
      <c r="AA289" s="60">
        <f>IFERROR(__xludf.DUMMYFUNCTION("""COMPUTED_VALUE"""),1.25E8)</f>
        <v>125000000</v>
      </c>
      <c r="AB289" s="60">
        <f>IFERROR(__xludf.DUMMYFUNCTION("""COMPUTED_VALUE"""),9.77E8)</f>
        <v>977000000</v>
      </c>
      <c r="AC289" s="60"/>
      <c r="AD289" s="73"/>
      <c r="AE289" s="73"/>
      <c r="AF289" s="76">
        <f>IFERROR(__xludf.DUMMYFUNCTION("""COMPUTED_VALUE"""),9.77E7)</f>
        <v>97700000</v>
      </c>
      <c r="AG289" s="60">
        <f>IFERROR(__xludf.DUMMYFUNCTION("""COMPUTED_VALUE"""),1.066884E9)</f>
        <v>1066884000</v>
      </c>
    </row>
    <row r="290">
      <c r="A290" s="54" t="str">
        <f>IFERROR(__xludf.DUMMYFUNCTION("""COMPUTED_VALUE"""),"FTOC")</f>
        <v>FTOC</v>
      </c>
      <c r="B290" s="55" t="str">
        <f>IFERROR(__xludf.DUMMYFUNCTION("""COMPUTED_VALUE"""),"FTAC Olympus Acquisition")</f>
        <v>FTAC Olympus Acquisition</v>
      </c>
      <c r="C290" s="56" t="str">
        <f>IFERROR(__xludf.DUMMYFUNCTION("""COMPUTED_VALUE"""),"Definitive Agreement")</f>
        <v>Definitive Agreement</v>
      </c>
      <c r="D290" s="57" t="str">
        <f>IFERROR(__xludf.DUMMYFUNCTION("""COMPUTED_VALUE"""),"Tech, Fintech")</f>
        <v>Tech, Fintech</v>
      </c>
      <c r="E290" s="58" t="str">
        <f>IFERROR(__xludf.DUMMYFUNCTION("""COMPUTED_VALUE"""),"Payoneer [DA: 02/03/21]")</f>
        <v>Payoneer [DA: 02/03/21]</v>
      </c>
      <c r="F290" s="59" t="str">
        <f>IFERROR(__xludf.DUMMYFUNCTION("""COMPUTED_VALUE"""),"Betsy Cohen (Founder/Fmr CEO Bancorp; Director, FinTech Acquisition I, II, III)")</f>
        <v>Betsy Cohen (Founder/Fmr CEO Bancorp; Director, FinTech Acquisition I, II, III)</v>
      </c>
      <c r="G290" s="60">
        <f>IFERROR(__xludf.DUMMYFUNCTION("""COMPUTED_VALUE"""),7.54750141E8)</f>
        <v>754750141</v>
      </c>
      <c r="H290" s="60">
        <f>IFERROR(__xludf.DUMMYFUNCTION("""COMPUTED_VALUE"""),8.34677042E8)</f>
        <v>834677042</v>
      </c>
      <c r="I290" s="61">
        <f>IFERROR(__xludf.DUMMYFUNCTION("""COMPUTED_VALUE"""),10.75)</f>
        <v>10.75</v>
      </c>
      <c r="J290" s="62">
        <f>IFERROR(__xludf.DUMMYFUNCTION("""COMPUTED_VALUE"""),-0.00463)</f>
        <v>-0.00463</v>
      </c>
      <c r="K290" s="59">
        <f>IFERROR(__xludf.DUMMYFUNCTION("""COMPUTED_VALUE"""),11.45)</f>
        <v>11.45</v>
      </c>
      <c r="L290" s="63">
        <f>IFERROR(__xludf.DUMMYFUNCTION("""COMPUTED_VALUE"""),2.0)</f>
        <v>2</v>
      </c>
      <c r="M290" s="64" t="str">
        <f>IFERROR(__xludf.DUMMYFUNCTION("""COMPUTED_VALUE"""),"U: [1/3 W]; W: [1:1, $11.5]")</f>
        <v>U: [1/3 W]; W: [1:1, $11.5]</v>
      </c>
      <c r="N290" s="65" t="str">
        <f>IFERROR(__xludf.DUMMYFUNCTION("""COMPUTED_VALUE"""),"")</f>
        <v/>
      </c>
      <c r="O290" s="66">
        <f>IFERROR(__xludf.DUMMYFUNCTION("""COMPUTED_VALUE"""),0.0)</f>
        <v>0</v>
      </c>
      <c r="P290" s="67">
        <f>IFERROR(__xludf.DUMMYFUNCTION("""COMPUTED_VALUE"""),44068.0)</f>
        <v>44068</v>
      </c>
      <c r="Q290" s="68">
        <f>IFERROR(__xludf.DUMMYFUNCTION("""COMPUTED_VALUE"""),754.74376)</f>
        <v>754.74376</v>
      </c>
      <c r="R290" s="85" t="str">
        <f>IFERROR(__xludf.DUMMYFUNCTION("""COMPUTED_VALUE"""),"Citigroup, Cantor")</f>
        <v>Citigroup, Cantor</v>
      </c>
      <c r="S290" s="64">
        <f>IFERROR(__xludf.DUMMYFUNCTION("""COMPUTED_VALUE"""),44798.0)</f>
        <v>44798</v>
      </c>
      <c r="T290" s="70">
        <f>IFERROR(__xludf.DUMMYFUNCTION("""COMPUTED_VALUE"""),0.31232876712328766)</f>
        <v>0.3123287671</v>
      </c>
      <c r="U290" s="71" t="str">
        <f>IFERROR(__xludf.DUMMYFUNCTION("""COMPUTED_VALUE"""),"https://www.sec.gov/cgi-bin/browse-edgar?CIK=1816090")</f>
        <v>https://www.sec.gov/cgi-bin/browse-edgar?CIK=1816090</v>
      </c>
      <c r="V290" s="72" t="str">
        <f>IFERROR(__xludf.DUMMYFUNCTION("""COMPUTED_VALUE"""),"   $500M+ Trust Optionable     Serial Sponsor Top Tier UW ")</f>
        <v>   $500M+ Trust Optionable     Serial Sponsor Top Tier UW </v>
      </c>
      <c r="W290" s="73">
        <f>IFERROR(__xludf.DUMMYFUNCTION("""COMPUTED_VALUE"""),44230.0)</f>
        <v>44230</v>
      </c>
      <c r="X290" s="79">
        <f>IFERROR(__xludf.DUMMYFUNCTION("""COMPUTED_VALUE"""),5.4)</f>
        <v>5.4</v>
      </c>
      <c r="Y290" s="80" t="str">
        <f>IFERROR(__xludf.DUMMYFUNCTION("""COMPUTED_VALUE"""),"https://www.businesswire.com/news/home/20210203005520/en/Payoneer-to-Become-Publicly-Traded-Company-Through-Combination-With-FTAC-Olympus-Acquisition-Corporation")</f>
        <v>https://www.businesswire.com/news/home/20210203005520/en/Payoneer-to-Become-Publicly-Traded-Company-Through-Combination-With-FTAC-Olympus-Acquisition-Corporation</v>
      </c>
      <c r="Z290" s="81" t="str">
        <f>IFERROR(__xludf.DUMMYFUNCTION("""COMPUTED_VALUE"""),"https://www.sec.gov/Archives/edgar/data/1816090/000110465921011297/tm215090d1_ex99-2.htm")</f>
        <v>https://www.sec.gov/Archives/edgar/data/1816090/000110465921011297/tm215090d1_ex99-2.htm</v>
      </c>
      <c r="AA290" s="60">
        <f>IFERROR(__xludf.DUMMYFUNCTION("""COMPUTED_VALUE"""),3.0E8)</f>
        <v>300000000</v>
      </c>
      <c r="AB290" s="60">
        <f>IFERROR(__xludf.DUMMYFUNCTION("""COMPUTED_VALUE"""),3.796E9)</f>
        <v>3796000000</v>
      </c>
      <c r="AC290" s="60">
        <f>IFERROR(__xludf.DUMMYFUNCTION("""COMPUTED_VALUE"""),3.271E9)</f>
        <v>3271000000</v>
      </c>
      <c r="AD290" s="73"/>
      <c r="AE290" s="73"/>
      <c r="AF290" s="76">
        <f>IFERROR(__xludf.DUMMYFUNCTION("""COMPUTED_VALUE"""),3.796E8)</f>
        <v>379600000</v>
      </c>
      <c r="AG290" s="60">
        <f>IFERROR(__xludf.DUMMYFUNCTION("""COMPUTED_VALUE"""),4.0807E9)</f>
        <v>4080700000</v>
      </c>
    </row>
    <row r="291">
      <c r="A291" s="54" t="str">
        <f>IFERROR(__xludf.DUMMYFUNCTION("""COMPUTED_VALUE"""),"FTPA")</f>
        <v>FTPA</v>
      </c>
      <c r="B291" s="55" t="str">
        <f>IFERROR(__xludf.DUMMYFUNCTION("""COMPUTED_VALUE"""),"FTAC Parnassus Acquisition Corp.")</f>
        <v>FTAC Parnassus Acquisition Corp.</v>
      </c>
      <c r="C291" s="56" t="str">
        <f>IFERROR(__xludf.DUMMYFUNCTION("""COMPUTED_VALUE"""),"Searching (Pre Unit Split)")</f>
        <v>Searching (Pre Unit Split)</v>
      </c>
      <c r="D291" s="77" t="str">
        <f>IFERROR(__xludf.DUMMYFUNCTION("""COMPUTED_VALUE"""),"Tech, Fintech")</f>
        <v>Tech, Fintech</v>
      </c>
      <c r="E291" s="58"/>
      <c r="F291" s="59" t="str">
        <f>IFERROR(__xludf.DUMMYFUNCTION("""COMPUTED_VALUE"""),"Daniel Cohen (Chairman INSU II &amp; III)")</f>
        <v>Daniel Cohen (Chairman INSU II &amp; III)</v>
      </c>
      <c r="G291" s="60">
        <f>IFERROR(__xludf.DUMMYFUNCTION("""COMPUTED_VALUE"""),2.5E8)</f>
        <v>250000000</v>
      </c>
      <c r="H291" s="60" t="str">
        <f>IFERROR(__xludf.DUMMYFUNCTION("""COMPUTED_VALUE""")," ")</f>
        <v> </v>
      </c>
      <c r="I291" s="61" t="str">
        <f>IFERROR(__xludf.DUMMYFUNCTION("""COMPUTED_VALUE""")," ")</f>
        <v> </v>
      </c>
      <c r="J291" s="62" t="str">
        <f>IFERROR(__xludf.DUMMYFUNCTION("""COMPUTED_VALUE""")," ")</f>
        <v> </v>
      </c>
      <c r="K291" s="59">
        <f>IFERROR(__xludf.DUMMYFUNCTION("""COMPUTED_VALUE"""),10.01)</f>
        <v>10.01</v>
      </c>
      <c r="L291" s="63" t="str">
        <f>IFERROR(__xludf.DUMMYFUNCTION("""COMPUTED_VALUE""")," ")</f>
        <v> </v>
      </c>
      <c r="M291" s="64" t="str">
        <f>IFERROR(__xludf.DUMMYFUNCTION("""COMPUTED_VALUE"""),"U: [1/4 W]; W: [1:1, $11.5]")</f>
        <v>U: [1/4 W]; W: [1:1, $11.5]</v>
      </c>
      <c r="N291" s="65">
        <f>IFERROR(__xludf.DUMMYFUNCTION("""COMPUTED_VALUE"""),44318.0)</f>
        <v>44318</v>
      </c>
      <c r="O291" s="66" t="str">
        <f>IFERROR(__xludf.DUMMYFUNCTION("""COMPUTED_VALUE"""),"")</f>
        <v/>
      </c>
      <c r="P291" s="67">
        <f>IFERROR(__xludf.DUMMYFUNCTION("""COMPUTED_VALUE"""),44266.0)</f>
        <v>44266</v>
      </c>
      <c r="Q291" s="68">
        <f>IFERROR(__xludf.DUMMYFUNCTION("""COMPUTED_VALUE"""),250.0)</f>
        <v>250</v>
      </c>
      <c r="R291" s="85" t="str">
        <f>IFERROR(__xludf.DUMMYFUNCTION("""COMPUTED_VALUE"""),"Cantor")</f>
        <v>Cantor</v>
      </c>
      <c r="S291" s="64">
        <f>IFERROR(__xludf.DUMMYFUNCTION("""COMPUTED_VALUE"""),44996.0)</f>
        <v>44996</v>
      </c>
      <c r="T291" s="70">
        <f>IFERROR(__xludf.DUMMYFUNCTION("""COMPUTED_VALUE"""),0.0410958904109589)</f>
        <v>0.04109589041</v>
      </c>
      <c r="U291" s="71" t="str">
        <f>IFERROR(__xludf.DUMMYFUNCTION("""COMPUTED_VALUE"""),"https://www.sec.gov/cgi-bin/browse-edgar?CIK=1839972")</f>
        <v>https://www.sec.gov/cgi-bin/browse-edgar?CIK=1839972</v>
      </c>
      <c r="V291" s="72" t="str">
        <f>IFERROR(__xludf.DUMMYFUNCTION("""COMPUTED_VALUE"""),"          Serial Sponsor  ")</f>
        <v>          Serial Sponsor  </v>
      </c>
      <c r="W291" s="73"/>
      <c r="X291" s="74"/>
      <c r="Y291" s="75"/>
      <c r="Z291" s="60"/>
      <c r="AA291" s="60"/>
      <c r="AB291" s="60"/>
      <c r="AC291" s="60"/>
      <c r="AD291" s="73"/>
      <c r="AE291" s="73"/>
      <c r="AF291" s="76"/>
      <c r="AG291" s="60"/>
    </row>
    <row r="292">
      <c r="A292" s="54" t="str">
        <f>IFERROR(__xludf.DUMMYFUNCTION("""COMPUTED_VALUE"""),"FTVI")</f>
        <v>FTVI</v>
      </c>
      <c r="B292" s="55" t="str">
        <f>IFERROR(__xludf.DUMMYFUNCTION("""COMPUTED_VALUE"""),"FinTech Acquisition Corp. VI")</f>
        <v>FinTech Acquisition Corp. VI</v>
      </c>
      <c r="C292" s="56" t="str">
        <f>IFERROR(__xludf.DUMMYFUNCTION("""COMPUTED_VALUE"""),"Pre IPO")</f>
        <v>Pre IPO</v>
      </c>
      <c r="D292" s="77" t="str">
        <f>IFERROR(__xludf.DUMMYFUNCTION("""COMPUTED_VALUE"""),"Fintech")</f>
        <v>Fintech</v>
      </c>
      <c r="E292" s="58"/>
      <c r="F292" s="59" t="str">
        <f>IFERROR(__xludf.DUMMYFUNCTION("""COMPUTED_VALUE"""),"Betsy Cohen (Founder &amp; Former CEO of The Bancorp and serial SPAC sponsor), Daniel Cohen (Chairman of Cohen &amp; Company)")</f>
        <v>Betsy Cohen (Founder &amp; Former CEO of The Bancorp and serial SPAC sponsor), Daniel Cohen (Chairman of Cohen &amp; Company)</v>
      </c>
      <c r="G292" s="60">
        <f>IFERROR(__xludf.DUMMYFUNCTION("""COMPUTED_VALUE"""),2.2E8)</f>
        <v>220000000</v>
      </c>
      <c r="H292" s="60" t="str">
        <f>IFERROR(__xludf.DUMMYFUNCTION("""COMPUTED_VALUE""")," ")</f>
        <v> </v>
      </c>
      <c r="I292" s="61" t="str">
        <f>IFERROR(__xludf.DUMMYFUNCTION("""COMPUTED_VALUE""")," ")</f>
        <v> </v>
      </c>
      <c r="J292" s="62" t="str">
        <f>IFERROR(__xludf.DUMMYFUNCTION("""COMPUTED_VALUE""")," ")</f>
        <v> </v>
      </c>
      <c r="K292" s="59" t="str">
        <f>IFERROR(__xludf.DUMMYFUNCTION("""COMPUTED_VALUE""")," ")</f>
        <v> </v>
      </c>
      <c r="L292" s="63" t="str">
        <f>IFERROR(__xludf.DUMMYFUNCTION("""COMPUTED_VALUE""")," ")</f>
        <v> </v>
      </c>
      <c r="M292" s="64" t="str">
        <f>IFERROR(__xludf.DUMMYFUNCTION("""COMPUTED_VALUE"""),"U: [1/4 W]; W: [1:1, $11.5]")</f>
        <v>U: [1/4 W]; W: [1:1, $11.5]</v>
      </c>
      <c r="N292" s="65" t="str">
        <f>IFERROR(__xludf.DUMMYFUNCTION("""COMPUTED_VALUE"""),"")</f>
        <v/>
      </c>
      <c r="O292" s="66">
        <f>IFERROR(__xludf.DUMMYFUNCTION("""COMPUTED_VALUE"""),0.0)</f>
        <v>0</v>
      </c>
      <c r="P292" s="67"/>
      <c r="Q292" s="68">
        <f>IFERROR(__xludf.DUMMYFUNCTION("""COMPUTED_VALUE"""),220.0)</f>
        <v>220</v>
      </c>
      <c r="R292" s="85" t="str">
        <f>IFERROR(__xludf.DUMMYFUNCTION("""COMPUTED_VALUE"""),"Cantor")</f>
        <v>Cantor</v>
      </c>
      <c r="S292" s="64">
        <f>IFERROR(__xludf.DUMMYFUNCTION("""COMPUTED_VALUE"""),45086.0)</f>
        <v>45086</v>
      </c>
      <c r="T292" s="70" t="str">
        <f>IFERROR(__xludf.DUMMYFUNCTION("""COMPUTED_VALUE"""),"")</f>
        <v/>
      </c>
      <c r="U292" s="71" t="str">
        <f>IFERROR(__xludf.DUMMYFUNCTION("""COMPUTED_VALUE"""),"https://www.sec.gov/cgi-bin/browse-edgar?CIK=1844336")</f>
        <v>https://www.sec.gov/cgi-bin/browse-edgar?CIK=1844336</v>
      </c>
      <c r="V292" s="72" t="str">
        <f>IFERROR(__xludf.DUMMYFUNCTION("""COMPUTED_VALUE"""),"            ")</f>
        <v>            </v>
      </c>
      <c r="W292" s="73"/>
      <c r="X292" s="74"/>
      <c r="Y292" s="75"/>
      <c r="Z292" s="60"/>
      <c r="AA292" s="60"/>
      <c r="AB292" s="60"/>
      <c r="AC292" s="60"/>
      <c r="AD292" s="73"/>
      <c r="AE292" s="73"/>
      <c r="AF292" s="76"/>
      <c r="AG292" s="60"/>
    </row>
    <row r="293">
      <c r="A293" s="54" t="str">
        <f>IFERROR(__xludf.DUMMYFUNCTION("""COMPUTED_VALUE"""),"FUSE")</f>
        <v>FUSE</v>
      </c>
      <c r="B293" s="55" t="str">
        <f>IFERROR(__xludf.DUMMYFUNCTION("""COMPUTED_VALUE"""),"Fusion Acquisition")</f>
        <v>Fusion Acquisition</v>
      </c>
      <c r="C293" s="56" t="str">
        <f>IFERROR(__xludf.DUMMYFUNCTION("""COMPUTED_VALUE"""),"Definitive Agreement")</f>
        <v>Definitive Agreement</v>
      </c>
      <c r="D293" s="77" t="str">
        <f>IFERROR(__xludf.DUMMYFUNCTION("""COMPUTED_VALUE"""),"Fintech, Asset Management, Wealth Management")</f>
        <v>Fintech, Asset Management, Wealth Management</v>
      </c>
      <c r="E293" s="58" t="str">
        <f>IFERROR(__xludf.DUMMYFUNCTION("""COMPUTED_VALUE"""),"MoneyLion [DA: 02/12/21]")</f>
        <v>MoneyLion [DA: 02/12/21]</v>
      </c>
      <c r="F293" s="59"/>
      <c r="G293" s="60">
        <f>IFERROR(__xludf.DUMMYFUNCTION("""COMPUTED_VALUE"""),3.50108734E8)</f>
        <v>350108734</v>
      </c>
      <c r="H293" s="60">
        <f>IFERROR(__xludf.DUMMYFUNCTION("""COMPUTED_VALUE"""),3.5525E8)</f>
        <v>355250000</v>
      </c>
      <c r="I293" s="61">
        <f>IFERROR(__xludf.DUMMYFUNCTION("""COMPUTED_VALUE"""),10.15)</f>
        <v>10.15</v>
      </c>
      <c r="J293" s="62">
        <f>IFERROR(__xludf.DUMMYFUNCTION("""COMPUTED_VALUE"""),0.00595)</f>
        <v>0.00595</v>
      </c>
      <c r="K293" s="59">
        <f>IFERROR(__xludf.DUMMYFUNCTION("""COMPUTED_VALUE"""),10.94)</f>
        <v>10.94</v>
      </c>
      <c r="L293" s="63">
        <f>IFERROR(__xludf.DUMMYFUNCTION("""COMPUTED_VALUE"""),1.38)</f>
        <v>1.38</v>
      </c>
      <c r="M293" s="64" t="str">
        <f>IFERROR(__xludf.DUMMYFUNCTION("""COMPUTED_VALUE"""),"U: [1/2 W]; W: [1:1, $11.5]")</f>
        <v>U: [1/2 W]; W: [1:1, $11.5]</v>
      </c>
      <c r="N293" s="65" t="str">
        <f>IFERROR(__xludf.DUMMYFUNCTION("""COMPUTED_VALUE"""),"")</f>
        <v/>
      </c>
      <c r="O293" s="66">
        <f>IFERROR(__xludf.DUMMYFUNCTION("""COMPUTED_VALUE"""),0.0)</f>
        <v>0</v>
      </c>
      <c r="P293" s="67">
        <f>IFERROR(__xludf.DUMMYFUNCTION("""COMPUTED_VALUE"""),44008.0)</f>
        <v>44008</v>
      </c>
      <c r="Q293" s="68">
        <f>IFERROR(__xludf.DUMMYFUNCTION("""COMPUTED_VALUE"""),350.0)</f>
        <v>350</v>
      </c>
      <c r="R293" s="85" t="str">
        <f>IFERROR(__xludf.DUMMYFUNCTION("""COMPUTED_VALUE"""),"Cantor, Odeon Capital Group")</f>
        <v>Cantor, Odeon Capital Group</v>
      </c>
      <c r="S293" s="64">
        <f>IFERROR(__xludf.DUMMYFUNCTION("""COMPUTED_VALUE"""),44555.5)</f>
        <v>44555.5</v>
      </c>
      <c r="T293" s="70">
        <f>IFERROR(__xludf.DUMMYFUNCTION("""COMPUTED_VALUE"""),0.5260273972602739)</f>
        <v>0.5260273973</v>
      </c>
      <c r="U293" s="71" t="str">
        <f>IFERROR(__xludf.DUMMYFUNCTION("""COMPUTED_VALUE"""),"https://www.sec.gov/cgi-bin/browse-edgar?CIK=1807846")</f>
        <v>https://www.sec.gov/cgi-bin/browse-edgar?CIK=1807846</v>
      </c>
      <c r="V293" s="72" t="str">
        <f>IFERROR(__xludf.DUMMYFUNCTION("""COMPUTED_VALUE"""),"     Optionable       ")</f>
        <v>     Optionable       </v>
      </c>
      <c r="W293" s="73">
        <f>IFERROR(__xludf.DUMMYFUNCTION("""COMPUTED_VALUE"""),44239.0)</f>
        <v>44239</v>
      </c>
      <c r="X293" s="79">
        <f>IFERROR(__xludf.DUMMYFUNCTION("""COMPUTED_VALUE"""),7.7)</f>
        <v>7.7</v>
      </c>
      <c r="Y293" s="80" t="str">
        <f>IFERROR(__xludf.DUMMYFUNCTION("""COMPUTED_VALUE"""),"http://www.globenewswire.com/news-release/2021/02/12/2174847/0/en/MoneyLion-America-s-Leading-Digital-Financial-Platform-to-Become-Publicly-Traded-via-Merger-with-Fusion-Acquisition-Corp-NYSE-FUSE.html")</f>
        <v>http://www.globenewswire.com/news-release/2021/02/12/2174847/0/en/MoneyLion-America-s-Leading-Digital-Financial-Platform-to-Become-Publicly-Traded-via-Merger-with-Fusion-Acquisition-Corp-NYSE-FUSE.html</v>
      </c>
      <c r="Z293" s="81" t="str">
        <f>IFERROR(__xludf.DUMMYFUNCTION("""COMPUTED_VALUE"""),"https://www.sec.gov/Archives/edgar/data/1807846/000121390021008694/ea135375ex99-2_fusionacq.htm")</f>
        <v>https://www.sec.gov/Archives/edgar/data/1807846/000121390021008694/ea135375ex99-2_fusionacq.htm</v>
      </c>
      <c r="AA293" s="60">
        <f>IFERROR(__xludf.DUMMYFUNCTION("""COMPUTED_VALUE"""),2.5E8)</f>
        <v>250000000</v>
      </c>
      <c r="AB293" s="60">
        <f>IFERROR(__xludf.DUMMYFUNCTION("""COMPUTED_VALUE"""),2.888E9)</f>
        <v>2888000000</v>
      </c>
      <c r="AC293" s="60">
        <f>IFERROR(__xludf.DUMMYFUNCTION("""COMPUTED_VALUE"""),2.362E9)</f>
        <v>2362000000</v>
      </c>
      <c r="AD293" s="73"/>
      <c r="AE293" s="73"/>
      <c r="AF293" s="76">
        <f>IFERROR(__xludf.DUMMYFUNCTION("""COMPUTED_VALUE"""),2.888E8)</f>
        <v>288800000</v>
      </c>
      <c r="AG293" s="60">
        <f>IFERROR(__xludf.DUMMYFUNCTION("""COMPUTED_VALUE"""),2.93132E9)</f>
        <v>2931320000</v>
      </c>
    </row>
    <row r="294">
      <c r="A294" s="54" t="str">
        <f>IFERROR(__xludf.DUMMYFUNCTION("""COMPUTED_VALUE"""),"FVAM")</f>
        <v>FVAM</v>
      </c>
      <c r="B294" s="55" t="str">
        <f>IFERROR(__xludf.DUMMYFUNCTION("""COMPUTED_VALUE"""),"5:01 Acquisition Corp")</f>
        <v>5:01 Acquisition Corp</v>
      </c>
      <c r="C294" s="56" t="str">
        <f>IFERROR(__xludf.DUMMYFUNCTION("""COMPUTED_VALUE"""),"Searching")</f>
        <v>Searching</v>
      </c>
      <c r="D294" s="77" t="str">
        <f>IFERROR(__xludf.DUMMYFUNCTION("""COMPUTED_VALUE"""),"BioTech, Healthcare")</f>
        <v>BioTech, Healthcare</v>
      </c>
      <c r="E294" s="58"/>
      <c r="F294" s="59"/>
      <c r="G294" s="60">
        <f>IFERROR(__xludf.DUMMYFUNCTION("""COMPUTED_VALUE"""),8.2563213E7)</f>
        <v>82563213</v>
      </c>
      <c r="H294" s="60">
        <f>IFERROR(__xludf.DUMMYFUNCTION("""COMPUTED_VALUE"""),8.707613E7)</f>
        <v>87076130</v>
      </c>
      <c r="I294" s="61">
        <f>IFERROR(__xludf.DUMMYFUNCTION("""COMPUTED_VALUE"""),10.1)</f>
        <v>10.1</v>
      </c>
      <c r="J294" s="62">
        <f>IFERROR(__xludf.DUMMYFUNCTION("""COMPUTED_VALUE"""),0.01406)</f>
        <v>0.01406</v>
      </c>
      <c r="K294" s="59" t="str">
        <f>IFERROR(__xludf.DUMMYFUNCTION("""COMPUTED_VALUE""")," ")</f>
        <v> </v>
      </c>
      <c r="L294" s="63" t="str">
        <f>IFERROR(__xludf.DUMMYFUNCTION("""COMPUTED_VALUE""")," ")</f>
        <v> </v>
      </c>
      <c r="M294" s="64" t="str">
        <f>IFERROR(__xludf.DUMMYFUNCTION("""COMPUTED_VALUE"""),"U: [No units]; W: [No warrants]")</f>
        <v>U: [No units]; W: [No warrants]</v>
      </c>
      <c r="N294" s="65" t="str">
        <f>IFERROR(__xludf.DUMMYFUNCTION("""COMPUTED_VALUE"""),"")</f>
        <v/>
      </c>
      <c r="O294" s="66" t="str">
        <f>IFERROR(__xludf.DUMMYFUNCTION("""COMPUTED_VALUE"""),"")</f>
        <v/>
      </c>
      <c r="P294" s="67">
        <f>IFERROR(__xludf.DUMMYFUNCTION("""COMPUTED_VALUE"""),44117.0)</f>
        <v>44117</v>
      </c>
      <c r="Q294" s="68">
        <f>IFERROR(__xludf.DUMMYFUNCTION("""COMPUTED_VALUE"""),82.6)</f>
        <v>82.6</v>
      </c>
      <c r="R294" s="85" t="str">
        <f>IFERROR(__xludf.DUMMYFUNCTION("""COMPUTED_VALUE"""),"BoA Securities")</f>
        <v>BoA Securities</v>
      </c>
      <c r="S294" s="64">
        <f>IFERROR(__xludf.DUMMYFUNCTION("""COMPUTED_VALUE"""),44847.0)</f>
        <v>44847</v>
      </c>
      <c r="T294" s="70">
        <f>IFERROR(__xludf.DUMMYFUNCTION("""COMPUTED_VALUE"""),0.2452054794520548)</f>
        <v>0.2452054795</v>
      </c>
      <c r="U294" s="71" t="str">
        <f>IFERROR(__xludf.DUMMYFUNCTION("""COMPUTED_VALUE"""),"https://www.sec.gov/cgi-bin/browse-edgar?CIK=1823465")</f>
        <v>https://www.sec.gov/cgi-bin/browse-edgar?CIK=1823465</v>
      </c>
      <c r="V294" s="72" t="str">
        <f>IFERROR(__xludf.DUMMYFUNCTION("""COMPUTED_VALUE"""),"            ")</f>
        <v>            </v>
      </c>
      <c r="W294" s="73"/>
      <c r="X294" s="74"/>
      <c r="Y294" s="75"/>
      <c r="Z294" s="60"/>
      <c r="AA294" s="60"/>
      <c r="AB294" s="60"/>
      <c r="AC294" s="60"/>
      <c r="AD294" s="73"/>
      <c r="AE294" s="73"/>
      <c r="AF294" s="76"/>
      <c r="AG294" s="60" t="str">
        <f>IFERROR(__xludf.DUMMYFUNCTION("""COMPUTED_VALUE"""),"")</f>
        <v/>
      </c>
    </row>
    <row r="295">
      <c r="A295" s="54" t="str">
        <f>IFERROR(__xludf.DUMMYFUNCTION("""COMPUTED_VALUE"""),"FVIV")</f>
        <v>FVIV</v>
      </c>
      <c r="B295" s="55" t="str">
        <f>IFERROR(__xludf.DUMMYFUNCTION("""COMPUTED_VALUE"""),"Fortress Value Acquisition Corp. IV")</f>
        <v>Fortress Value Acquisition Corp. IV</v>
      </c>
      <c r="C295" s="56" t="str">
        <f>IFERROR(__xludf.DUMMYFUNCTION("""COMPUTED_VALUE"""),"Searching (Pre Unit Split)")</f>
        <v>Searching (Pre Unit Split)</v>
      </c>
      <c r="D295" s="57"/>
      <c r="E295" s="58"/>
      <c r="F295" s="59" t="str">
        <f>IFERROR(__xludf.DUMMYFUNCTION("""COMPUTED_VALUE"""),"Fortress Investment Group")</f>
        <v>Fortress Investment Group</v>
      </c>
      <c r="G295" s="60">
        <f>IFERROR(__xludf.DUMMYFUNCTION("""COMPUTED_VALUE"""),6.0E8)</f>
        <v>600000000</v>
      </c>
      <c r="H295" s="60" t="str">
        <f>IFERROR(__xludf.DUMMYFUNCTION("""COMPUTED_VALUE""")," ")</f>
        <v> </v>
      </c>
      <c r="I295" s="61" t="str">
        <f>IFERROR(__xludf.DUMMYFUNCTION("""COMPUTED_VALUE""")," ")</f>
        <v> </v>
      </c>
      <c r="J295" s="62" t="str">
        <f>IFERROR(__xludf.DUMMYFUNCTION("""COMPUTED_VALUE""")," ")</f>
        <v> </v>
      </c>
      <c r="K295" s="59">
        <f>IFERROR(__xludf.DUMMYFUNCTION("""COMPUTED_VALUE"""),10.02)</f>
        <v>10.02</v>
      </c>
      <c r="L295" s="63" t="str">
        <f>IFERROR(__xludf.DUMMYFUNCTION("""COMPUTED_VALUE""")," ")</f>
        <v> </v>
      </c>
      <c r="M295" s="64" t="str">
        <f>IFERROR(__xludf.DUMMYFUNCTION("""COMPUTED_VALUE"""),"U: [1/8 W]; W: [1:1, $11.5]")</f>
        <v>U: [1/8 W]; W: [1:1, $11.5]</v>
      </c>
      <c r="N295" s="65">
        <f>IFERROR(__xludf.DUMMYFUNCTION("""COMPUTED_VALUE"""),44322.0)</f>
        <v>44322</v>
      </c>
      <c r="O295" s="66" t="str">
        <f>IFERROR(__xludf.DUMMYFUNCTION("""COMPUTED_VALUE"""),"")</f>
        <v/>
      </c>
      <c r="P295" s="67">
        <f>IFERROR(__xludf.DUMMYFUNCTION("""COMPUTED_VALUE"""),44270.0)</f>
        <v>44270</v>
      </c>
      <c r="Q295" s="68">
        <f>IFERROR(__xludf.DUMMYFUNCTION("""COMPUTED_VALUE"""),600.0)</f>
        <v>600</v>
      </c>
      <c r="R295" s="85" t="str">
        <f>IFERROR(__xludf.DUMMYFUNCTION("""COMPUTED_VALUE"""),"Deutsche Bank Securities, BofA Securities, PJT Partners")</f>
        <v>Deutsche Bank Securities, BofA Securities, PJT Partners</v>
      </c>
      <c r="S295" s="64">
        <f>IFERROR(__xludf.DUMMYFUNCTION("""COMPUTED_VALUE"""),45000.0)</f>
        <v>45000</v>
      </c>
      <c r="T295" s="70">
        <f>IFERROR(__xludf.DUMMYFUNCTION("""COMPUTED_VALUE"""),0.03561643835616438)</f>
        <v>0.03561643836</v>
      </c>
      <c r="U295" s="71" t="str">
        <f>IFERROR(__xludf.DUMMYFUNCTION("""COMPUTED_VALUE"""),"https://www.sec.gov/cgi-bin/browse-edgar?CIK=1828183")</f>
        <v>https://www.sec.gov/cgi-bin/browse-edgar?CIK=1828183</v>
      </c>
      <c r="V295" s="72" t="str">
        <f>IFERROR(__xludf.DUMMYFUNCTION("""COMPUTED_VALUE"""),"   $500M+ Trust     Well-known Sponsor Serial Sponsor Top Tier UW ")</f>
        <v>   $500M+ Trust     Well-known Sponsor Serial Sponsor Top Tier UW </v>
      </c>
      <c r="W295" s="73"/>
      <c r="X295" s="74"/>
      <c r="Y295" s="75"/>
      <c r="Z295" s="60"/>
      <c r="AA295" s="60"/>
      <c r="AB295" s="60"/>
      <c r="AC295" s="60"/>
      <c r="AD295" s="73"/>
      <c r="AE295" s="73"/>
      <c r="AF295" s="76"/>
      <c r="AG295" s="60"/>
    </row>
    <row r="296">
      <c r="A296" s="54" t="str">
        <f>IFERROR(__xludf.DUMMYFUNCTION("""COMPUTED_VALUE"""),"FVT")</f>
        <v>FVT</v>
      </c>
      <c r="B296" s="55" t="str">
        <f>IFERROR(__xludf.DUMMYFUNCTION("""COMPUTED_VALUE"""),"Fortress Value Acquisition Corp. III")</f>
        <v>Fortress Value Acquisition Corp. III</v>
      </c>
      <c r="C296" s="56" t="str">
        <f>IFERROR(__xludf.DUMMYFUNCTION("""COMPUTED_VALUE"""),"Searching")</f>
        <v>Searching</v>
      </c>
      <c r="D296" s="57"/>
      <c r="E296" s="58"/>
      <c r="F296" s="59" t="str">
        <f>IFERROR(__xludf.DUMMYFUNCTION("""COMPUTED_VALUE"""),"Fortress Investment Group")</f>
        <v>Fortress Investment Group</v>
      </c>
      <c r="G296" s="60">
        <f>IFERROR(__xludf.DUMMYFUNCTION("""COMPUTED_VALUE"""),2.3E8)</f>
        <v>230000000</v>
      </c>
      <c r="H296" s="60">
        <f>IFERROR(__xludf.DUMMYFUNCTION("""COMPUTED_VALUE"""),2.3E8)</f>
        <v>230000000</v>
      </c>
      <c r="I296" s="61">
        <f>IFERROR(__xludf.DUMMYFUNCTION("""COMPUTED_VALUE"""),10.0)</f>
        <v>10</v>
      </c>
      <c r="J296" s="62">
        <f>IFERROR(__xludf.DUMMYFUNCTION("""COMPUTED_VALUE"""),0.0014)</f>
        <v>0.0014</v>
      </c>
      <c r="K296" s="59">
        <f>IFERROR(__xludf.DUMMYFUNCTION("""COMPUTED_VALUE"""),10.2)</f>
        <v>10.2</v>
      </c>
      <c r="L296" s="63">
        <f>IFERROR(__xludf.DUMMYFUNCTION("""COMPUTED_VALUE"""),1.28)</f>
        <v>1.28</v>
      </c>
      <c r="M296" s="64" t="str">
        <f>IFERROR(__xludf.DUMMYFUNCTION("""COMPUTED_VALUE"""),"U: [1/5 W]; W: [1:1, $11.5]")</f>
        <v>U: [1/5 W]; W: [1:1, $11.5]</v>
      </c>
      <c r="N296" s="65" t="str">
        <f>IFERROR(__xludf.DUMMYFUNCTION("""COMPUTED_VALUE"""),"")</f>
        <v/>
      </c>
      <c r="O296" s="66">
        <f>IFERROR(__xludf.DUMMYFUNCTION("""COMPUTED_VALUE"""),0.0)</f>
        <v>0</v>
      </c>
      <c r="P296" s="67">
        <f>IFERROR(__xludf.DUMMYFUNCTION("""COMPUTED_VALUE"""),44200.0)</f>
        <v>44200</v>
      </c>
      <c r="Q296" s="68">
        <f>IFERROR(__xludf.DUMMYFUNCTION("""COMPUTED_VALUE"""),230.0)</f>
        <v>230</v>
      </c>
      <c r="R296" s="69" t="str">
        <f>IFERROR(__xludf.DUMMYFUNCTION("""COMPUTED_VALUE"""),"Deutsche Bank Securities")</f>
        <v>Deutsche Bank Securities</v>
      </c>
      <c r="S296" s="64">
        <f>IFERROR(__xludf.DUMMYFUNCTION("""COMPUTED_VALUE"""),44930.0)</f>
        <v>44930</v>
      </c>
      <c r="T296" s="70">
        <f>IFERROR(__xludf.DUMMYFUNCTION("""COMPUTED_VALUE"""),0.13150684931506848)</f>
        <v>0.1315068493</v>
      </c>
      <c r="U296" s="71" t="str">
        <f>IFERROR(__xludf.DUMMYFUNCTION("""COMPUTED_VALUE"""),"https://www.sec.gov/cgi-bin/browse-edgar?CIK=1824434")</f>
        <v>https://www.sec.gov/cgi-bin/browse-edgar?CIK=1824434</v>
      </c>
      <c r="V296" s="72" t="str">
        <f>IFERROR(__xludf.DUMMYFUNCTION("""COMPUTED_VALUE""")," Trading Below $10 (Common)        Well-known Sponsor Serial Sponsor  ")</f>
        <v> Trading Below $10 (Common)        Well-known Sponsor Serial Sponsor  </v>
      </c>
      <c r="W296" s="73"/>
      <c r="X296" s="74"/>
      <c r="Y296" s="75"/>
      <c r="Z296" s="60"/>
      <c r="AA296" s="60"/>
      <c r="AB296" s="60"/>
      <c r="AC296" s="60"/>
      <c r="AD296" s="73"/>
      <c r="AE296" s="73"/>
      <c r="AF296" s="76"/>
      <c r="AG296" s="60" t="str">
        <f>IFERROR(__xludf.DUMMYFUNCTION("""COMPUTED_VALUE"""),"")</f>
        <v/>
      </c>
    </row>
    <row r="297">
      <c r="A297" s="54" t="str">
        <f>IFERROR(__xludf.DUMMYFUNCTION("""COMPUTED_VALUE"""),"FWAA")</f>
        <v>FWAA</v>
      </c>
      <c r="B297" s="55" t="str">
        <f>IFERROR(__xludf.DUMMYFUNCTION("""COMPUTED_VALUE"""),"Fifth Wall Acquisition Corp. ")</f>
        <v>Fifth Wall Acquisition Corp. </v>
      </c>
      <c r="C297" s="56" t="str">
        <f>IFERROR(__xludf.DUMMYFUNCTION("""COMPUTED_VALUE"""),"Searching")</f>
        <v>Searching</v>
      </c>
      <c r="D297" s="57" t="str">
        <f>IFERROR(__xludf.DUMMYFUNCTION("""COMPUTED_VALUE"""),"Real Estate")</f>
        <v>Real Estate</v>
      </c>
      <c r="E297" s="58"/>
      <c r="F297" s="59" t="str">
        <f>IFERROR(__xludf.DUMMYFUNCTION("""COMPUTED_VALUE"""),"Brendan Wallace (Co-founder/MP, Fifth Wall) ")</f>
        <v>Brendan Wallace (Co-founder/MP, Fifth Wall) </v>
      </c>
      <c r="G297" s="60">
        <f>IFERROR(__xludf.DUMMYFUNCTION("""COMPUTED_VALUE"""),3.45E8)</f>
        <v>345000000</v>
      </c>
      <c r="H297" s="60">
        <f>IFERROR(__xludf.DUMMYFUNCTION("""COMPUTED_VALUE"""),2.55E8)</f>
        <v>255000000</v>
      </c>
      <c r="I297" s="61">
        <f>IFERROR(__xludf.DUMMYFUNCTION("""COMPUTED_VALUE"""),10.2)</f>
        <v>10.2</v>
      </c>
      <c r="J297" s="62">
        <f>IFERROR(__xludf.DUMMYFUNCTION("""COMPUTED_VALUE"""),0.0099)</f>
        <v>0.0099</v>
      </c>
      <c r="K297" s="59" t="str">
        <f>IFERROR(__xludf.DUMMYFUNCTION("""COMPUTED_VALUE""")," ")</f>
        <v> </v>
      </c>
      <c r="L297" s="63" t="str">
        <f>IFERROR(__xludf.DUMMYFUNCTION("""COMPUTED_VALUE""")," ")</f>
        <v> </v>
      </c>
      <c r="M297" s="64" t="str">
        <f>IFERROR(__xludf.DUMMYFUNCTION("""COMPUTED_VALUE"""),"U: [No units]; W: [No warrants]")</f>
        <v>U: [No units]; W: [No warrants]</v>
      </c>
      <c r="N297" s="65" t="str">
        <f>IFERROR(__xludf.DUMMYFUNCTION("""COMPUTED_VALUE"""),"")</f>
        <v/>
      </c>
      <c r="O297" s="66">
        <f>IFERROR(__xludf.DUMMYFUNCTION("""COMPUTED_VALUE"""),0.0)</f>
        <v>0</v>
      </c>
      <c r="P297" s="67">
        <f>IFERROR(__xludf.DUMMYFUNCTION("""COMPUTED_VALUE"""),44231.0)</f>
        <v>44231</v>
      </c>
      <c r="Q297" s="68">
        <f>IFERROR(__xludf.DUMMYFUNCTION("""COMPUTED_VALUE"""),345.0)</f>
        <v>345</v>
      </c>
      <c r="R297" s="85" t="str">
        <f>IFERROR(__xludf.DUMMYFUNCTION("""COMPUTED_VALUE"""),"Goldman Sachs, Deutsche Bank Securities")</f>
        <v>Goldman Sachs, Deutsche Bank Securities</v>
      </c>
      <c r="S297" s="64">
        <f>IFERROR(__xludf.DUMMYFUNCTION("""COMPUTED_VALUE"""),44961.0)</f>
        <v>44961</v>
      </c>
      <c r="T297" s="70">
        <f>IFERROR(__xludf.DUMMYFUNCTION("""COMPUTED_VALUE"""),0.08904109589041095)</f>
        <v>0.08904109589</v>
      </c>
      <c r="U297" s="71" t="str">
        <f>IFERROR(__xludf.DUMMYFUNCTION("""COMPUTED_VALUE"""),"https://www.sec.gov/cgi-bin/browse-edgar?CIK=1837014")</f>
        <v>https://www.sec.gov/cgi-bin/browse-edgar?CIK=1837014</v>
      </c>
      <c r="V297" s="72" t="str">
        <f>IFERROR(__xludf.DUMMYFUNCTION("""COMPUTED_VALUE"""),"Venture Capital           Top Tier UW ")</f>
        <v>Venture Capital           Top Tier UW </v>
      </c>
      <c r="W297" s="73"/>
      <c r="X297" s="74"/>
      <c r="Y297" s="75"/>
      <c r="Z297" s="60"/>
      <c r="AA297" s="60"/>
      <c r="AB297" s="60"/>
      <c r="AC297" s="60"/>
      <c r="AD297" s="73"/>
      <c r="AE297" s="73"/>
      <c r="AF297" s="76"/>
      <c r="AG297" s="60" t="str">
        <f>IFERROR(__xludf.DUMMYFUNCTION("""COMPUTED_VALUE"""),"")</f>
        <v/>
      </c>
    </row>
    <row r="298">
      <c r="A298" s="54" t="str">
        <f>IFERROR(__xludf.DUMMYFUNCTION("""COMPUTED_VALUE"""),"FWAB")</f>
        <v>FWAB</v>
      </c>
      <c r="B298" s="55" t="str">
        <f>IFERROR(__xludf.DUMMYFUNCTION("""COMPUTED_VALUE"""),"Fifth Wall Acquisition Corp. II")</f>
        <v>Fifth Wall Acquisition Corp. II</v>
      </c>
      <c r="C298" s="56" t="str">
        <f>IFERROR(__xludf.DUMMYFUNCTION("""COMPUTED_VALUE"""),"Pre IPO")</f>
        <v>Pre IPO</v>
      </c>
      <c r="D298" s="77" t="str">
        <f>IFERROR(__xludf.DUMMYFUNCTION("""COMPUTED_VALUE"""),"Real Estate")</f>
        <v>Real Estate</v>
      </c>
      <c r="E298" s="58"/>
      <c r="F298" s="59" t="str">
        <f>IFERROR(__xludf.DUMMYFUNCTION("""COMPUTED_VALUE"""),"Brendan Wallace (Co-founder/MP, Fifth Wall) ")</f>
        <v>Brendan Wallace (Co-founder/MP, Fifth Wall) </v>
      </c>
      <c r="G298" s="60">
        <f>IFERROR(__xludf.DUMMYFUNCTION("""COMPUTED_VALUE"""),1.5E8)</f>
        <v>150000000</v>
      </c>
      <c r="H298" s="60" t="str">
        <f>IFERROR(__xludf.DUMMYFUNCTION("""COMPUTED_VALUE""")," ")</f>
        <v> </v>
      </c>
      <c r="I298" s="61" t="str">
        <f>IFERROR(__xludf.DUMMYFUNCTION("""COMPUTED_VALUE""")," ")</f>
        <v> </v>
      </c>
      <c r="J298" s="62" t="str">
        <f>IFERROR(__xludf.DUMMYFUNCTION("""COMPUTED_VALUE""")," ")</f>
        <v> </v>
      </c>
      <c r="K298" s="59" t="str">
        <f>IFERROR(__xludf.DUMMYFUNCTION("""COMPUTED_VALUE""")," ")</f>
        <v> </v>
      </c>
      <c r="L298" s="63" t="str">
        <f>IFERROR(__xludf.DUMMYFUNCTION("""COMPUTED_VALUE""")," ")</f>
        <v> </v>
      </c>
      <c r="M298" s="64" t="str">
        <f>IFERROR(__xludf.DUMMYFUNCTION("""COMPUTED_VALUE"""),"U: [No Units]; W: [No Warrants]")</f>
        <v>U: [No Units]; W: [No Warrants]</v>
      </c>
      <c r="N298" s="65" t="str">
        <f>IFERROR(__xludf.DUMMYFUNCTION("""COMPUTED_VALUE"""),"")</f>
        <v/>
      </c>
      <c r="O298" s="66">
        <f>IFERROR(__xludf.DUMMYFUNCTION("""COMPUTED_VALUE"""),0.0)</f>
        <v>0</v>
      </c>
      <c r="P298" s="67"/>
      <c r="Q298" s="68">
        <f>IFERROR(__xludf.DUMMYFUNCTION("""COMPUTED_VALUE"""),150.0)</f>
        <v>150</v>
      </c>
      <c r="R298" s="85" t="str">
        <f>IFERROR(__xludf.DUMMYFUNCTION("""COMPUTED_VALUE"""),"Deutsche Bank Securities")</f>
        <v>Deutsche Bank Securities</v>
      </c>
      <c r="S298" s="64">
        <f>IFERROR(__xludf.DUMMYFUNCTION("""COMPUTED_VALUE"""),45086.0)</f>
        <v>45086</v>
      </c>
      <c r="T298" s="70" t="str">
        <f>IFERROR(__xludf.DUMMYFUNCTION("""COMPUTED_VALUE"""),"")</f>
        <v/>
      </c>
      <c r="U298" s="71" t="str">
        <f>IFERROR(__xludf.DUMMYFUNCTION("""COMPUTED_VALUE"""),"https://www.sec.gov/cgi-bin/browse-edgar?CIK=1847504")</f>
        <v>https://www.sec.gov/cgi-bin/browse-edgar?CIK=1847504</v>
      </c>
      <c r="V298" s="72" t="str">
        <f>IFERROR(__xludf.DUMMYFUNCTION("""COMPUTED_VALUE"""),"Venture Capital            ")</f>
        <v>Venture Capital            </v>
      </c>
      <c r="W298" s="73"/>
      <c r="X298" s="74"/>
      <c r="Y298" s="75"/>
      <c r="Z298" s="60"/>
      <c r="AA298" s="60"/>
      <c r="AB298" s="60"/>
      <c r="AC298" s="60"/>
      <c r="AD298" s="73"/>
      <c r="AE298" s="73"/>
      <c r="AF298" s="76"/>
      <c r="AG298" s="60"/>
    </row>
    <row r="299">
      <c r="A299" s="54" t="str">
        <f>IFERROR(__xludf.DUMMYFUNCTION("""COMPUTED_VALUE"""),"FZT")</f>
        <v>FZT</v>
      </c>
      <c r="B299" s="55" t="str">
        <f>IFERROR(__xludf.DUMMYFUNCTION("""COMPUTED_VALUE"""),"FAST Acquisition Corp. II")</f>
        <v>FAST Acquisition Corp. II</v>
      </c>
      <c r="C299" s="56" t="str">
        <f>IFERROR(__xludf.DUMMYFUNCTION("""COMPUTED_VALUE"""),"Searching (Pre Unit Split)")</f>
        <v>Searching (Pre Unit Split)</v>
      </c>
      <c r="D299" s="57" t="str">
        <f>IFERROR(__xludf.DUMMYFUNCTION("""COMPUTED_VALUE"""),"Restaurant, Hospitality, Consumer")</f>
        <v>Restaurant, Hospitality, Consumer</v>
      </c>
      <c r="E299" s="58"/>
      <c r="F299" s="59" t="str">
        <f>IFERROR(__xludf.DUMMYFUNCTION("""COMPUTED_VALUE"""),"Sandy Beall (Founder of Ruby Tuesday), Kevin Reddy (Former COO of Chipotle and CEO of Noodles &amp; Company), Michael Lastoria (Co-founder and CEO of &amp;pizza)")</f>
        <v>Sandy Beall (Founder of Ruby Tuesday), Kevin Reddy (Former COO of Chipotle and CEO of Noodles &amp; Company), Michael Lastoria (Co-founder and CEO of &amp;pizza)</v>
      </c>
      <c r="G299" s="60">
        <f>IFERROR(__xludf.DUMMYFUNCTION("""COMPUTED_VALUE"""),2.0E8)</f>
        <v>200000000</v>
      </c>
      <c r="H299" s="60" t="str">
        <f>IFERROR(__xludf.DUMMYFUNCTION("""COMPUTED_VALUE""")," ")</f>
        <v> </v>
      </c>
      <c r="I299" s="61" t="str">
        <f>IFERROR(__xludf.DUMMYFUNCTION("""COMPUTED_VALUE""")," ")</f>
        <v> </v>
      </c>
      <c r="J299" s="62" t="str">
        <f>IFERROR(__xludf.DUMMYFUNCTION("""COMPUTED_VALUE""")," ")</f>
        <v> </v>
      </c>
      <c r="K299" s="59">
        <f>IFERROR(__xludf.DUMMYFUNCTION("""COMPUTED_VALUE"""),10.0)</f>
        <v>10</v>
      </c>
      <c r="L299" s="63" t="str">
        <f>IFERROR(__xludf.DUMMYFUNCTION("""COMPUTED_VALUE""")," ")</f>
        <v> </v>
      </c>
      <c r="M299" s="64" t="str">
        <f>IFERROR(__xludf.DUMMYFUNCTION("""COMPUTED_VALUE"""),"U: [1/4 W]; W: [1:1, $11.5]")</f>
        <v>U: [1/4 W]; W: [1:1, $11.5]</v>
      </c>
      <c r="N299" s="65">
        <f>IFERROR(__xludf.DUMMYFUNCTION("""COMPUTED_VALUE"""),44322.0)</f>
        <v>44322</v>
      </c>
      <c r="O299" s="66">
        <f>IFERROR(__xludf.DUMMYFUNCTION("""COMPUTED_VALUE"""),0.0)</f>
        <v>0</v>
      </c>
      <c r="P299" s="67">
        <f>IFERROR(__xludf.DUMMYFUNCTION("""COMPUTED_VALUE"""),44270.0)</f>
        <v>44270</v>
      </c>
      <c r="Q299" s="68">
        <f>IFERROR(__xludf.DUMMYFUNCTION("""COMPUTED_VALUE"""),200.0)</f>
        <v>200</v>
      </c>
      <c r="R299" s="85" t="str">
        <f>IFERROR(__xludf.DUMMYFUNCTION("""COMPUTED_VALUE"""),"Jefferies")</f>
        <v>Jefferies</v>
      </c>
      <c r="S299" s="64">
        <f>IFERROR(__xludf.DUMMYFUNCTION("""COMPUTED_VALUE"""),45000.0)</f>
        <v>45000</v>
      </c>
      <c r="T299" s="70">
        <f>IFERROR(__xludf.DUMMYFUNCTION("""COMPUTED_VALUE"""),0.03561643835616438)</f>
        <v>0.03561643836</v>
      </c>
      <c r="U299" s="71" t="str">
        <f>IFERROR(__xludf.DUMMYFUNCTION("""COMPUTED_VALUE"""),"https://www.sec.gov/cgi-bin/browse-edgar?CIK=1839824")</f>
        <v>https://www.sec.gov/cgi-bin/browse-edgar?CIK=1839824</v>
      </c>
      <c r="V299" s="72" t="str">
        <f>IFERROR(__xludf.DUMMYFUNCTION("""COMPUTED_VALUE"""),"            ")</f>
        <v>            </v>
      </c>
      <c r="W299" s="73"/>
      <c r="X299" s="74"/>
      <c r="Y299" s="75"/>
      <c r="Z299" s="60"/>
      <c r="AA299" s="60"/>
      <c r="AB299" s="60"/>
      <c r="AC299" s="60"/>
      <c r="AD299" s="73"/>
      <c r="AE299" s="73"/>
      <c r="AF299" s="76"/>
      <c r="AG299" s="60"/>
    </row>
    <row r="300">
      <c r="A300" s="54" t="str">
        <f>IFERROR(__xludf.DUMMYFUNCTION("""COMPUTED_VALUE"""),"GACQ")</f>
        <v>GACQ</v>
      </c>
      <c r="B300" s="55" t="str">
        <f>IFERROR(__xludf.DUMMYFUNCTION("""COMPUTED_VALUE"""),"Global Consumer Acquisition Corp")</f>
        <v>Global Consumer Acquisition Corp</v>
      </c>
      <c r="C300" s="56" t="str">
        <f>IFERROR(__xludf.DUMMYFUNCTION("""COMPUTED_VALUE"""),"Pre IPO")</f>
        <v>Pre IPO</v>
      </c>
      <c r="D300" s="77" t="str">
        <f>IFERROR(__xludf.DUMMYFUNCTION("""COMPUTED_VALUE"""),"Consumer")</f>
        <v>Consumer</v>
      </c>
      <c r="E300" s="58"/>
      <c r="F300" s="59"/>
      <c r="G300" s="60">
        <f>IFERROR(__xludf.DUMMYFUNCTION("""COMPUTED_VALUE"""),2.0E8)</f>
        <v>200000000</v>
      </c>
      <c r="H300" s="60" t="str">
        <f>IFERROR(__xludf.DUMMYFUNCTION("""COMPUTED_VALUE""")," ")</f>
        <v> </v>
      </c>
      <c r="I300" s="61" t="str">
        <f>IFERROR(__xludf.DUMMYFUNCTION("""COMPUTED_VALUE""")," ")</f>
        <v> </v>
      </c>
      <c r="J300" s="62" t="str">
        <f>IFERROR(__xludf.DUMMYFUNCTION("""COMPUTED_VALUE""")," ")</f>
        <v> </v>
      </c>
      <c r="K300" s="59" t="str">
        <f>IFERROR(__xludf.DUMMYFUNCTION("""COMPUTED_VALUE""")," ")</f>
        <v> </v>
      </c>
      <c r="L300" s="63" t="str">
        <f>IFERROR(__xludf.DUMMYFUNCTION("""COMPUTED_VALUE""")," ")</f>
        <v> </v>
      </c>
      <c r="M300" s="64" t="str">
        <f>IFERROR(__xludf.DUMMYFUNCTION("""COMPUTED_VALUE"""),"U: [1/2 W]; W: [1:1, $11.5]")</f>
        <v>U: [1/2 W]; W: [1:1, $11.5]</v>
      </c>
      <c r="N300" s="65" t="str">
        <f>IFERROR(__xludf.DUMMYFUNCTION("""COMPUTED_VALUE"""),"")</f>
        <v/>
      </c>
      <c r="O300" s="66">
        <f>IFERROR(__xludf.DUMMYFUNCTION("""COMPUTED_VALUE"""),0.0)</f>
        <v>0</v>
      </c>
      <c r="P300" s="67"/>
      <c r="Q300" s="68">
        <f>IFERROR(__xludf.DUMMYFUNCTION("""COMPUTED_VALUE"""),200.0)</f>
        <v>200</v>
      </c>
      <c r="R300" s="85" t="str">
        <f>IFERROR(__xludf.DUMMYFUNCTION("""COMPUTED_VALUE"""),"Kingswood Capital Markets")</f>
        <v>Kingswood Capital Markets</v>
      </c>
      <c r="S300" s="64">
        <f>IFERROR(__xludf.DUMMYFUNCTION("""COMPUTED_VALUE"""),45086.0)</f>
        <v>45086</v>
      </c>
      <c r="T300" s="70" t="str">
        <f>IFERROR(__xludf.DUMMYFUNCTION("""COMPUTED_VALUE"""),"")</f>
        <v/>
      </c>
      <c r="U300" s="71" t="str">
        <f>IFERROR(__xludf.DUMMYFUNCTION("""COMPUTED_VALUE"""),"https://www.sec.gov/cgi-bin/browse-edgar?CIK=1846288")</f>
        <v>https://www.sec.gov/cgi-bin/browse-edgar?CIK=1846288</v>
      </c>
      <c r="V300" s="72" t="str">
        <f>IFERROR(__xludf.DUMMYFUNCTION("""COMPUTED_VALUE"""),"            ")</f>
        <v>            </v>
      </c>
      <c r="W300" s="73"/>
      <c r="X300" s="74"/>
      <c r="Y300" s="75"/>
      <c r="Z300" s="60"/>
      <c r="AA300" s="60"/>
      <c r="AB300" s="60"/>
      <c r="AC300" s="60"/>
      <c r="AD300" s="73"/>
      <c r="AE300" s="73"/>
      <c r="AF300" s="76"/>
      <c r="AG300" s="60"/>
    </row>
    <row r="301">
      <c r="A301" s="54" t="str">
        <f>IFERROR(__xludf.DUMMYFUNCTION("""COMPUTED_VALUE"""),"GAMC")</f>
        <v>GAMC</v>
      </c>
      <c r="B301" s="55" t="str">
        <f>IFERROR(__xludf.DUMMYFUNCTION("""COMPUTED_VALUE"""),"Golden Arrow Merger Corp.")</f>
        <v>Golden Arrow Merger Corp.</v>
      </c>
      <c r="C301" s="56" t="str">
        <f>IFERROR(__xludf.DUMMYFUNCTION("""COMPUTED_VALUE"""),"Searching (Pre Unit Split)")</f>
        <v>Searching (Pre Unit Split)</v>
      </c>
      <c r="D301" s="77" t="str">
        <f>IFERROR(__xludf.DUMMYFUNCTION("""COMPUTED_VALUE"""),"Healthcare")</f>
        <v>Healthcare</v>
      </c>
      <c r="E301" s="58"/>
      <c r="F301" s="59" t="str">
        <f>IFERROR(__xludf.DUMMYFUNCTION("""COMPUTED_VALUE"""),"Lloyd Dean (CEO, CommonSpirit Health)")</f>
        <v>Lloyd Dean (CEO, CommonSpirit Health)</v>
      </c>
      <c r="G301" s="60">
        <f>IFERROR(__xludf.DUMMYFUNCTION("""COMPUTED_VALUE"""),2.5E8)</f>
        <v>250000000</v>
      </c>
      <c r="H301" s="60" t="str">
        <f>IFERROR(__xludf.DUMMYFUNCTION("""COMPUTED_VALUE""")," ")</f>
        <v> </v>
      </c>
      <c r="I301" s="61" t="str">
        <f>IFERROR(__xludf.DUMMYFUNCTION("""COMPUTED_VALUE""")," ")</f>
        <v> </v>
      </c>
      <c r="J301" s="62" t="str">
        <f>IFERROR(__xludf.DUMMYFUNCTION("""COMPUTED_VALUE""")," ")</f>
        <v> </v>
      </c>
      <c r="K301" s="59">
        <f>IFERROR(__xludf.DUMMYFUNCTION("""COMPUTED_VALUE"""),10.0)</f>
        <v>10</v>
      </c>
      <c r="L301" s="63" t="str">
        <f>IFERROR(__xludf.DUMMYFUNCTION("""COMPUTED_VALUE""")," ")</f>
        <v> </v>
      </c>
      <c r="M301" s="64" t="str">
        <f>IFERROR(__xludf.DUMMYFUNCTION("""COMPUTED_VALUE"""),"U: [1/3 W]; W: [1:1, $11.5]")</f>
        <v>U: [1/3 W]; W: [1:1, $11.5]</v>
      </c>
      <c r="N301" s="65">
        <f>IFERROR(__xludf.DUMMYFUNCTION("""COMPUTED_VALUE"""),44323.0)</f>
        <v>44323</v>
      </c>
      <c r="O301" s="66">
        <f>IFERROR(__xludf.DUMMYFUNCTION("""COMPUTED_VALUE"""),0.0)</f>
        <v>0</v>
      </c>
      <c r="P301" s="67">
        <f>IFERROR(__xludf.DUMMYFUNCTION("""COMPUTED_VALUE"""),44271.0)</f>
        <v>44271</v>
      </c>
      <c r="Q301" s="68">
        <f>IFERROR(__xludf.DUMMYFUNCTION("""COMPUTED_VALUE"""),250.0)</f>
        <v>250</v>
      </c>
      <c r="R301" s="85" t="str">
        <f>IFERROR(__xludf.DUMMYFUNCTION("""COMPUTED_VALUE"""),"BTIG")</f>
        <v>BTIG</v>
      </c>
      <c r="S301" s="64">
        <f>IFERROR(__xludf.DUMMYFUNCTION("""COMPUTED_VALUE"""),45001.0)</f>
        <v>45001</v>
      </c>
      <c r="T301" s="70">
        <f>IFERROR(__xludf.DUMMYFUNCTION("""COMPUTED_VALUE"""),0.03424657534246575)</f>
        <v>0.03424657534</v>
      </c>
      <c r="U301" s="71" t="str">
        <f>IFERROR(__xludf.DUMMYFUNCTION("""COMPUTED_VALUE"""),"https://www.sec.gov/cgi-bin/browse-edgar?CIK=1841125")</f>
        <v>https://www.sec.gov/cgi-bin/browse-edgar?CIK=1841125</v>
      </c>
      <c r="V301" s="72" t="str">
        <f>IFERROR(__xludf.DUMMYFUNCTION("""COMPUTED_VALUE"""),"            ")</f>
        <v>            </v>
      </c>
      <c r="W301" s="73"/>
      <c r="X301" s="74"/>
      <c r="Y301" s="75"/>
      <c r="Z301" s="60"/>
      <c r="AA301" s="60"/>
      <c r="AB301" s="60"/>
      <c r="AC301" s="60"/>
      <c r="AD301" s="73"/>
      <c r="AE301" s="73"/>
      <c r="AF301" s="76"/>
      <c r="AG301" s="60"/>
    </row>
    <row r="302">
      <c r="A302" s="54" t="str">
        <f>IFERROR(__xludf.DUMMYFUNCTION("""COMPUTED_VALUE"""),"GAPA")</f>
        <v>GAPA</v>
      </c>
      <c r="B302" s="55" t="str">
        <f>IFERROR(__xludf.DUMMYFUNCTION("""COMPUTED_VALUE"""),"G&amp;P Acquisition Corp.")</f>
        <v>G&amp;P Acquisition Corp.</v>
      </c>
      <c r="C302" s="56" t="str">
        <f>IFERROR(__xludf.DUMMYFUNCTION("""COMPUTED_VALUE"""),"Searching (Pre Unit Split)")</f>
        <v>Searching (Pre Unit Split)</v>
      </c>
      <c r="D302" s="57" t="str">
        <f>IFERROR(__xludf.DUMMYFUNCTION("""COMPUTED_VALUE"""),"Leisure, Craft Brewing &amp; Distilling, Automotive, Distribution")</f>
        <v>Leisure, Craft Brewing &amp; Distilling, Automotive, Distribution</v>
      </c>
      <c r="E302" s="58"/>
      <c r="F302" s="59"/>
      <c r="G302" s="60">
        <f>IFERROR(__xludf.DUMMYFUNCTION("""COMPUTED_VALUE"""),1.7675E8)</f>
        <v>176750000</v>
      </c>
      <c r="H302" s="60" t="str">
        <f>IFERROR(__xludf.DUMMYFUNCTION("""COMPUTED_VALUE""")," ")</f>
        <v> </v>
      </c>
      <c r="I302" s="61" t="str">
        <f>IFERROR(__xludf.DUMMYFUNCTION("""COMPUTED_VALUE""")," ")</f>
        <v> </v>
      </c>
      <c r="J302" s="62" t="str">
        <f>IFERROR(__xludf.DUMMYFUNCTION("""COMPUTED_VALUE""")," ")</f>
        <v> </v>
      </c>
      <c r="K302" s="59">
        <f>IFERROR(__xludf.DUMMYFUNCTION("""COMPUTED_VALUE"""),10.0)</f>
        <v>10</v>
      </c>
      <c r="L302" s="63" t="str">
        <f>IFERROR(__xludf.DUMMYFUNCTION("""COMPUTED_VALUE""")," ")</f>
        <v> </v>
      </c>
      <c r="M302" s="64" t="str">
        <f>IFERROR(__xludf.DUMMYFUNCTION("""COMPUTED_VALUE"""),"U: [1/2 W]; W: [1:1, $11.5]")</f>
        <v>U: [1/2 W]; W: [1:1, $11.5]</v>
      </c>
      <c r="N302" s="65">
        <f>IFERROR(__xludf.DUMMYFUNCTION("""COMPUTED_VALUE"""),44317.0)</f>
        <v>44317</v>
      </c>
      <c r="O302" s="66" t="str">
        <f>IFERROR(__xludf.DUMMYFUNCTION("""COMPUTED_VALUE"""),"")</f>
        <v/>
      </c>
      <c r="P302" s="67">
        <f>IFERROR(__xludf.DUMMYFUNCTION("""COMPUTED_VALUE"""),44265.0)</f>
        <v>44265</v>
      </c>
      <c r="Q302" s="68">
        <f>IFERROR(__xludf.DUMMYFUNCTION("""COMPUTED_VALUE"""),176.75)</f>
        <v>176.75</v>
      </c>
      <c r="R302" s="85" t="str">
        <f>IFERROR(__xludf.DUMMYFUNCTION("""COMPUTED_VALUE"""),"BMO Capital Markets")</f>
        <v>BMO Capital Markets</v>
      </c>
      <c r="S302" s="64">
        <f>IFERROR(__xludf.DUMMYFUNCTION("""COMPUTED_VALUE"""),44995.0)</f>
        <v>44995</v>
      </c>
      <c r="T302" s="70">
        <f>IFERROR(__xludf.DUMMYFUNCTION("""COMPUTED_VALUE"""),0.04246575342465753)</f>
        <v>0.04246575342</v>
      </c>
      <c r="U302" s="71" t="str">
        <f>IFERROR(__xludf.DUMMYFUNCTION("""COMPUTED_VALUE"""),"https://www.sec.gov/cgi-bin/browse-edgar?CIK=1839121")</f>
        <v>https://www.sec.gov/cgi-bin/browse-edgar?CIK=1839121</v>
      </c>
      <c r="V302" s="72" t="str">
        <f>IFERROR(__xludf.DUMMYFUNCTION("""COMPUTED_VALUE"""),"            ")</f>
        <v>            </v>
      </c>
      <c r="W302" s="73"/>
      <c r="X302" s="74"/>
      <c r="Y302" s="75"/>
      <c r="Z302" s="60"/>
      <c r="AA302" s="60"/>
      <c r="AB302" s="60"/>
      <c r="AC302" s="60"/>
      <c r="AD302" s="73"/>
      <c r="AE302" s="73"/>
      <c r="AF302" s="76"/>
      <c r="AG302" s="60"/>
    </row>
    <row r="303">
      <c r="A303" s="54" t="str">
        <f>IFERROR(__xludf.DUMMYFUNCTION("""COMPUTED_VALUE"""),"GBRG")</f>
        <v>GBRG</v>
      </c>
      <c r="B303" s="55" t="str">
        <f>IFERROR(__xludf.DUMMYFUNCTION("""COMPUTED_VALUE"""),"Goldenbridge Acquisition Limited")</f>
        <v>Goldenbridge Acquisition Limited</v>
      </c>
      <c r="C303" s="56" t="str">
        <f>IFERROR(__xludf.DUMMYFUNCTION("""COMPUTED_VALUE"""),"Searching (Pre Unit Split)")</f>
        <v>Searching (Pre Unit Split)</v>
      </c>
      <c r="D303" s="57" t="str">
        <f>IFERROR(__xludf.DUMMYFUNCTION("""COMPUTED_VALUE"""),"Artificial Intelligence, Other Tech Innovations")</f>
        <v>Artificial Intelligence, Other Tech Innovations</v>
      </c>
      <c r="E303" s="58"/>
      <c r="F303" s="59" t="str">
        <f>IFERROR(__xludf.DUMMYFUNCTION("""COMPUTED_VALUE"""),"Yongsheng Liu (Wealthbridge Acquisition: combination with Scienjoy)")</f>
        <v>Yongsheng Liu (Wealthbridge Acquisition: combination with Scienjoy)</v>
      </c>
      <c r="G303" s="60">
        <f>IFERROR(__xludf.DUMMYFUNCTION("""COMPUTED_VALUE"""),5.0E7)</f>
        <v>50000000</v>
      </c>
      <c r="H303" s="60" t="str">
        <f>IFERROR(__xludf.DUMMYFUNCTION("""COMPUTED_VALUE""")," ")</f>
        <v> </v>
      </c>
      <c r="I303" s="61" t="str">
        <f>IFERROR(__xludf.DUMMYFUNCTION("""COMPUTED_VALUE""")," ")</f>
        <v> </v>
      </c>
      <c r="J303" s="62" t="str">
        <f>IFERROR(__xludf.DUMMYFUNCTION("""COMPUTED_VALUE""")," ")</f>
        <v> </v>
      </c>
      <c r="K303" s="59">
        <f>IFERROR(__xludf.DUMMYFUNCTION("""COMPUTED_VALUE"""),10.03)</f>
        <v>10.03</v>
      </c>
      <c r="L303" s="63" t="str">
        <f>IFERROR(__xludf.DUMMYFUNCTION("""COMPUTED_VALUE""")," ")</f>
        <v> </v>
      </c>
      <c r="M303" s="64" t="str">
        <f>IFERROR(__xludf.DUMMYFUNCTION("""COMPUTED_VALUE"""),"U: [1 W, 1 R (1/10 sh)]; W: [2:1, $11.5]")</f>
        <v>U: [1 W, 1 R (1/10 sh)]; W: [2:1, $11.5]</v>
      </c>
      <c r="N303" s="65">
        <f>IFERROR(__xludf.DUMMYFUNCTION("""COMPUTED_VALUE"""),44308.0)</f>
        <v>44308</v>
      </c>
      <c r="O303" s="66" t="str">
        <f>IFERROR(__xludf.DUMMYFUNCTION("""COMPUTED_VALUE"""),"")</f>
        <v/>
      </c>
      <c r="P303" s="67">
        <f>IFERROR(__xludf.DUMMYFUNCTION("""COMPUTED_VALUE"""),44256.0)</f>
        <v>44256</v>
      </c>
      <c r="Q303" s="68">
        <f>IFERROR(__xludf.DUMMYFUNCTION("""COMPUTED_VALUE"""),50.0)</f>
        <v>50</v>
      </c>
      <c r="R303" s="85" t="str">
        <f>IFERROR(__xludf.DUMMYFUNCTION("""COMPUTED_VALUE"""),"Maxim")</f>
        <v>Maxim</v>
      </c>
      <c r="S303" s="64">
        <f>IFERROR(__xludf.DUMMYFUNCTION("""COMPUTED_VALUE"""),44621.0)</f>
        <v>44621</v>
      </c>
      <c r="T303" s="70">
        <f>IFERROR(__xludf.DUMMYFUNCTION("""COMPUTED_VALUE"""),0.1095890410958904)</f>
        <v>0.1095890411</v>
      </c>
      <c r="U303" s="71" t="str">
        <f>IFERROR(__xludf.DUMMYFUNCTION("""COMPUTED_VALUE"""),"https://www.sec.gov/cgi-bin/browse-edgar?CIK=1822792")</f>
        <v>https://www.sec.gov/cgi-bin/browse-edgar?CIK=1822792</v>
      </c>
      <c r="V303" s="72" t="str">
        <f>IFERROR(__xludf.DUMMYFUNCTION("""COMPUTED_VALUE"""),"       Has Rights     ")</f>
        <v>       Has Rights     </v>
      </c>
      <c r="W303" s="73"/>
      <c r="X303" s="74"/>
      <c r="Y303" s="75"/>
      <c r="Z303" s="60"/>
      <c r="AA303" s="60"/>
      <c r="AB303" s="60"/>
      <c r="AC303" s="60"/>
      <c r="AD303" s="73"/>
      <c r="AE303" s="73"/>
      <c r="AF303" s="76"/>
      <c r="AG303" s="60" t="str">
        <f>IFERROR(__xludf.DUMMYFUNCTION("""COMPUTED_VALUE"""),"")</f>
        <v/>
      </c>
    </row>
    <row r="304">
      <c r="A304" s="54" t="str">
        <f>IFERROR(__xludf.DUMMYFUNCTION("""COMPUTED_VALUE"""),"GCAC")</f>
        <v>GCAC</v>
      </c>
      <c r="B304" s="55" t="str">
        <f>IFERROR(__xludf.DUMMYFUNCTION("""COMPUTED_VALUE"""),"Growth Capital Acquisition Corp.")</f>
        <v>Growth Capital Acquisition Corp.</v>
      </c>
      <c r="C304" s="56" t="str">
        <f>IFERROR(__xludf.DUMMYFUNCTION("""COMPUTED_VALUE"""),"Searching")</f>
        <v>Searching</v>
      </c>
      <c r="D304" s="57"/>
      <c r="E304" s="58"/>
      <c r="F304" s="59" t="str">
        <f>IFERROR(__xludf.DUMMYFUNCTION("""COMPUTED_VALUE"""),"Prokopios Tsirigakis (CEO of Nautilus Energy &amp; SevenSeas, $STLR, $NMAR, $SEA)")</f>
        <v>Prokopios Tsirigakis (CEO of Nautilus Energy &amp; SevenSeas, $STLR, $NMAR, $SEA)</v>
      </c>
      <c r="G304" s="60">
        <f>IFERROR(__xludf.DUMMYFUNCTION("""COMPUTED_VALUE"""),1.725E8)</f>
        <v>172500000</v>
      </c>
      <c r="H304" s="60">
        <f>IFERROR(__xludf.DUMMYFUNCTION("""COMPUTED_VALUE"""),1.688775E8)</f>
        <v>168877500</v>
      </c>
      <c r="I304" s="61">
        <f>IFERROR(__xludf.DUMMYFUNCTION("""COMPUTED_VALUE"""),9.79)</f>
        <v>9.79</v>
      </c>
      <c r="J304" s="62">
        <f>IFERROR(__xludf.DUMMYFUNCTION("""COMPUTED_VALUE"""),0.0041)</f>
        <v>0.0041</v>
      </c>
      <c r="K304" s="59">
        <f>IFERROR(__xludf.DUMMYFUNCTION("""COMPUTED_VALUE"""),9.98)</f>
        <v>9.98</v>
      </c>
      <c r="L304" s="63">
        <f>IFERROR(__xludf.DUMMYFUNCTION("""COMPUTED_VALUE"""),0.57)</f>
        <v>0.57</v>
      </c>
      <c r="M304" s="64" t="str">
        <f>IFERROR(__xludf.DUMMYFUNCTION("""COMPUTED_VALUE"""),"U: [1/2 W]; W: [1:1, $11.5]")</f>
        <v>U: [1/2 W]; W: [1:1, $11.5]</v>
      </c>
      <c r="N304" s="65" t="str">
        <f>IFERROR(__xludf.DUMMYFUNCTION("""COMPUTED_VALUE"""),"")</f>
        <v/>
      </c>
      <c r="O304" s="66">
        <f>IFERROR(__xludf.DUMMYFUNCTION("""COMPUTED_VALUE"""),0.0)</f>
        <v>0</v>
      </c>
      <c r="P304" s="67">
        <f>IFERROR(__xludf.DUMMYFUNCTION("""COMPUTED_VALUE"""),44225.0)</f>
        <v>44225</v>
      </c>
      <c r="Q304" s="68">
        <f>IFERROR(__xludf.DUMMYFUNCTION("""COMPUTED_VALUE"""),172.5)</f>
        <v>172.5</v>
      </c>
      <c r="R304" s="85" t="str">
        <f>IFERROR(__xludf.DUMMYFUNCTION("""COMPUTED_VALUE"""),"Maxim")</f>
        <v>Maxim</v>
      </c>
      <c r="S304" s="64">
        <f>IFERROR(__xludf.DUMMYFUNCTION("""COMPUTED_VALUE"""),44955.0)</f>
        <v>44955</v>
      </c>
      <c r="T304" s="70">
        <f>IFERROR(__xludf.DUMMYFUNCTION("""COMPUTED_VALUE"""),0.09726027397260274)</f>
        <v>0.09726027397</v>
      </c>
      <c r="U304" s="71" t="str">
        <f>IFERROR(__xludf.DUMMYFUNCTION("""COMPUTED_VALUE"""),"https://www.sec.gov/cgi-bin/browse-edgar?CIK=1498233")</f>
        <v>https://www.sec.gov/cgi-bin/browse-edgar?CIK=1498233</v>
      </c>
      <c r="V304" s="72" t="str">
        <f>IFERROR(__xludf.DUMMYFUNCTION("""COMPUTED_VALUE""")," Trading Below $10 (Common)           ")</f>
        <v> Trading Below $10 (Common)           </v>
      </c>
      <c r="W304" s="73"/>
      <c r="X304" s="74"/>
      <c r="Y304" s="75"/>
      <c r="Z304" s="60"/>
      <c r="AA304" s="60"/>
      <c r="AB304" s="60"/>
      <c r="AC304" s="60"/>
      <c r="AD304" s="73"/>
      <c r="AE304" s="73"/>
      <c r="AF304" s="76"/>
      <c r="AG304" s="60" t="str">
        <f>IFERROR(__xludf.DUMMYFUNCTION("""COMPUTED_VALUE"""),"")</f>
        <v/>
      </c>
    </row>
    <row r="305">
      <c r="A305" s="54" t="str">
        <f>IFERROR(__xludf.DUMMYFUNCTION("""COMPUTED_VALUE"""),"GCSA")</f>
        <v>GCSA</v>
      </c>
      <c r="B305" s="55" t="str">
        <f>IFERROR(__xludf.DUMMYFUNCTION("""COMPUTED_VALUE"""),"Gateway Strategic Acquisition Co.")</f>
        <v>Gateway Strategic Acquisition Co.</v>
      </c>
      <c r="C305" s="56" t="str">
        <f>IFERROR(__xludf.DUMMYFUNCTION("""COMPUTED_VALUE"""),"Pre IPO")</f>
        <v>Pre IPO</v>
      </c>
      <c r="D305" s="57" t="str">
        <f>IFERROR(__xludf.DUMMYFUNCTION("""COMPUTED_VALUE"""),"Tech in Real Estate and Healthcare")</f>
        <v>Tech in Real Estate and Healthcare</v>
      </c>
      <c r="E305" s="58"/>
      <c r="F305" s="59" t="str">
        <f>IFERROR(__xludf.DUMMYFUNCTION("""COMPUTED_VALUE"""),"Goodwin Gaw (Chairman, Managing Principal &amp; Co-Founder of GCP), Kenneth Gaw (Managing Principal &amp; Co-Founder of GCP)")</f>
        <v>Goodwin Gaw (Chairman, Managing Principal &amp; Co-Founder of GCP), Kenneth Gaw (Managing Principal &amp; Co-Founder of GCP)</v>
      </c>
      <c r="G305" s="60">
        <f>IFERROR(__xludf.DUMMYFUNCTION("""COMPUTED_VALUE"""),3.0E8)</f>
        <v>300000000</v>
      </c>
      <c r="H305" s="60" t="str">
        <f>IFERROR(__xludf.DUMMYFUNCTION("""COMPUTED_VALUE""")," ")</f>
        <v> </v>
      </c>
      <c r="I305" s="61" t="str">
        <f>IFERROR(__xludf.DUMMYFUNCTION("""COMPUTED_VALUE""")," ")</f>
        <v> </v>
      </c>
      <c r="J305" s="62" t="str">
        <f>IFERROR(__xludf.DUMMYFUNCTION("""COMPUTED_VALUE""")," ")</f>
        <v> </v>
      </c>
      <c r="K305" s="59" t="str">
        <f>IFERROR(__xludf.DUMMYFUNCTION("""COMPUTED_VALUE""")," ")</f>
        <v> </v>
      </c>
      <c r="L305" s="63" t="str">
        <f>IFERROR(__xludf.DUMMYFUNCTION("""COMPUTED_VALUE""")," ")</f>
        <v> </v>
      </c>
      <c r="M305" s="64" t="str">
        <f>IFERROR(__xludf.DUMMYFUNCTION("""COMPUTED_VALUE"""),"U: [1/2 W]; W: [1:1, $11.5]")</f>
        <v>U: [1/2 W]; W: [1:1, $11.5]</v>
      </c>
      <c r="N305" s="65" t="str">
        <f>IFERROR(__xludf.DUMMYFUNCTION("""COMPUTED_VALUE"""),"")</f>
        <v/>
      </c>
      <c r="O305" s="66">
        <f>IFERROR(__xludf.DUMMYFUNCTION("""COMPUTED_VALUE"""),0.0)</f>
        <v>0</v>
      </c>
      <c r="P305" s="67"/>
      <c r="Q305" s="68">
        <f>IFERROR(__xludf.DUMMYFUNCTION("""COMPUTED_VALUE"""),300.0)</f>
        <v>300</v>
      </c>
      <c r="R305" s="85" t="str">
        <f>IFERROR(__xludf.DUMMYFUNCTION("""COMPUTED_VALUE"""),"Credit Suisse, Citigroup")</f>
        <v>Credit Suisse, Citigroup</v>
      </c>
      <c r="S305" s="64">
        <f>IFERROR(__xludf.DUMMYFUNCTION("""COMPUTED_VALUE"""),45086.0)</f>
        <v>45086</v>
      </c>
      <c r="T305" s="70" t="str">
        <f>IFERROR(__xludf.DUMMYFUNCTION("""COMPUTED_VALUE"""),"")</f>
        <v/>
      </c>
      <c r="U305" s="71" t="str">
        <f>IFERROR(__xludf.DUMMYFUNCTION("""COMPUTED_VALUE"""),"https://www.sec.gov/cgi-bin/browse-edgar?CIK=1846689")</f>
        <v>https://www.sec.gov/cgi-bin/browse-edgar?CIK=1846689</v>
      </c>
      <c r="V305" s="72" t="str">
        <f>IFERROR(__xludf.DUMMYFUNCTION("""COMPUTED_VALUE"""),"         Well-known Sponsor  Top Tier UW ")</f>
        <v>         Well-known Sponsor  Top Tier UW </v>
      </c>
      <c r="W305" s="73"/>
      <c r="X305" s="74"/>
      <c r="Y305" s="75"/>
      <c r="Z305" s="60"/>
      <c r="AA305" s="60"/>
      <c r="AB305" s="60"/>
      <c r="AC305" s="60"/>
      <c r="AD305" s="73"/>
      <c r="AE305" s="73"/>
      <c r="AF305" s="76"/>
      <c r="AG305" s="60"/>
    </row>
    <row r="306">
      <c r="A306" s="54" t="str">
        <f>IFERROR(__xludf.DUMMYFUNCTION("""COMPUTED_VALUE"""),"GFLD")</f>
        <v>GFLD</v>
      </c>
      <c r="B306" s="55" t="str">
        <f>IFERROR(__xludf.DUMMYFUNCTION("""COMPUTED_VALUE"""),"Gefen Landa Acquisition Corp.")</f>
        <v>Gefen Landa Acquisition Corp.</v>
      </c>
      <c r="C306" s="56" t="str">
        <f>IFERROR(__xludf.DUMMYFUNCTION("""COMPUTED_VALUE"""),"Pre IPO")</f>
        <v>Pre IPO</v>
      </c>
      <c r="D306" s="77" t="str">
        <f>IFERROR(__xludf.DUMMYFUNCTION("""COMPUTED_VALUE"""),"Israeli Tech Companies")</f>
        <v>Israeli Tech Companies</v>
      </c>
      <c r="E306" s="58"/>
      <c r="F306" s="59" t="str">
        <f>IFERROR(__xludf.DUMMYFUNCTION("""COMPUTED_VALUE"""),"Benny Landa (Founder of Indigo Digital Printing, Chairman &amp; CEO of Landa Labs, Chairman of Landa Ventures, and CTO of Landa Digital Printing)")</f>
        <v>Benny Landa (Founder of Indigo Digital Printing, Chairman &amp; CEO of Landa Labs, Chairman of Landa Ventures, and CTO of Landa Digital Printing)</v>
      </c>
      <c r="G306" s="60">
        <f>IFERROR(__xludf.DUMMYFUNCTION("""COMPUTED_VALUE"""),2.5E8)</f>
        <v>250000000</v>
      </c>
      <c r="H306" s="60" t="str">
        <f>IFERROR(__xludf.DUMMYFUNCTION("""COMPUTED_VALUE""")," ")</f>
        <v> </v>
      </c>
      <c r="I306" s="61" t="str">
        <f>IFERROR(__xludf.DUMMYFUNCTION("""COMPUTED_VALUE""")," ")</f>
        <v> </v>
      </c>
      <c r="J306" s="62" t="str">
        <f>IFERROR(__xludf.DUMMYFUNCTION("""COMPUTED_VALUE""")," ")</f>
        <v> </v>
      </c>
      <c r="K306" s="59" t="str">
        <f>IFERROR(__xludf.DUMMYFUNCTION("""COMPUTED_VALUE""")," ")</f>
        <v> </v>
      </c>
      <c r="L306" s="63" t="str">
        <f>IFERROR(__xludf.DUMMYFUNCTION("""COMPUTED_VALUE""")," ")</f>
        <v> </v>
      </c>
      <c r="M306" s="64" t="str">
        <f>IFERROR(__xludf.DUMMYFUNCTION("""COMPUTED_VALUE"""),"U: [1/3 W]; W: [1:1, $11.5]")</f>
        <v>U: [1/3 W]; W: [1:1, $11.5]</v>
      </c>
      <c r="N306" s="65" t="str">
        <f>IFERROR(__xludf.DUMMYFUNCTION("""COMPUTED_VALUE"""),"")</f>
        <v/>
      </c>
      <c r="O306" s="66">
        <f>IFERROR(__xludf.DUMMYFUNCTION("""COMPUTED_VALUE"""),0.0)</f>
        <v>0</v>
      </c>
      <c r="P306" s="67"/>
      <c r="Q306" s="68">
        <f>IFERROR(__xludf.DUMMYFUNCTION("""COMPUTED_VALUE"""),250.0)</f>
        <v>250</v>
      </c>
      <c r="R306" s="69" t="str">
        <f>IFERROR(__xludf.DUMMYFUNCTION("""COMPUTED_VALUE"""),"BofA Securities, Guggenheim Securities")</f>
        <v>BofA Securities, Guggenheim Securities</v>
      </c>
      <c r="S306" s="64">
        <f>IFERROR(__xludf.DUMMYFUNCTION("""COMPUTED_VALUE"""),45086.0)</f>
        <v>45086</v>
      </c>
      <c r="T306" s="70" t="str">
        <f>IFERROR(__xludf.DUMMYFUNCTION("""COMPUTED_VALUE"""),"")</f>
        <v/>
      </c>
      <c r="U306" s="71" t="str">
        <f>IFERROR(__xludf.DUMMYFUNCTION("""COMPUTED_VALUE"""),"https://www.sec.gov/cgi-bin/browse-edgar?CIK=1842327")</f>
        <v>https://www.sec.gov/cgi-bin/browse-edgar?CIK=1842327</v>
      </c>
      <c r="V306" s="72" t="str">
        <f>IFERROR(__xludf.DUMMYFUNCTION("""COMPUTED_VALUE"""),"         Well-known Sponsor  Top Tier UW ")</f>
        <v>         Well-known Sponsor  Top Tier UW </v>
      </c>
      <c r="W306" s="73"/>
      <c r="X306" s="74"/>
      <c r="Y306" s="75"/>
      <c r="Z306" s="60"/>
      <c r="AA306" s="60"/>
      <c r="AB306" s="60"/>
      <c r="AC306" s="60"/>
      <c r="AD306" s="73"/>
      <c r="AE306" s="73"/>
      <c r="AF306" s="76"/>
      <c r="AG306" s="60"/>
    </row>
    <row r="307">
      <c r="A307" s="54" t="str">
        <f>IFERROR(__xludf.DUMMYFUNCTION("""COMPUTED_VALUE"""),"GFOR ")</f>
        <v>GFOR </v>
      </c>
      <c r="B307" s="55" t="str">
        <f>IFERROR(__xludf.DUMMYFUNCTION("""COMPUTED_VALUE"""),"Graf Acquisition Corp. IV")</f>
        <v>Graf Acquisition Corp. IV</v>
      </c>
      <c r="C307" s="56" t="str">
        <f>IFERROR(__xludf.DUMMYFUNCTION("""COMPUTED_VALUE"""),"Pre IPO")</f>
        <v>Pre IPO</v>
      </c>
      <c r="D307" s="57"/>
      <c r="E307" s="58"/>
      <c r="F307" s="59" t="str">
        <f>IFERROR(__xludf.DUMMYFUNCTION("""COMPUTED_VALUE"""),"James Graf (Former CEO of Graf Industrial Corp)")</f>
        <v>James Graf (Former CEO of Graf Industrial Corp)</v>
      </c>
      <c r="G307" s="60">
        <f>IFERROR(__xludf.DUMMYFUNCTION("""COMPUTED_VALUE"""),1.5E8)</f>
        <v>150000000</v>
      </c>
      <c r="H307" s="60" t="str">
        <f>IFERROR(__xludf.DUMMYFUNCTION("""COMPUTED_VALUE""")," ")</f>
        <v> </v>
      </c>
      <c r="I307" s="61" t="str">
        <f>IFERROR(__xludf.DUMMYFUNCTION("""COMPUTED_VALUE""")," ")</f>
        <v> </v>
      </c>
      <c r="J307" s="62" t="str">
        <f>IFERROR(__xludf.DUMMYFUNCTION("""COMPUTED_VALUE""")," ")</f>
        <v> </v>
      </c>
      <c r="K307" s="59" t="str">
        <f>IFERROR(__xludf.DUMMYFUNCTION("""COMPUTED_VALUE""")," ")</f>
        <v> </v>
      </c>
      <c r="L307" s="63" t="str">
        <f>IFERROR(__xludf.DUMMYFUNCTION("""COMPUTED_VALUE""")," ")</f>
        <v> </v>
      </c>
      <c r="M307" s="64" t="str">
        <f>IFERROR(__xludf.DUMMYFUNCTION("""COMPUTED_VALUE"""),"U: [1/3 W]; W: [1:1, $11.5]")</f>
        <v>U: [1/3 W]; W: [1:1, $11.5]</v>
      </c>
      <c r="N307" s="65" t="str">
        <f>IFERROR(__xludf.DUMMYFUNCTION("""COMPUTED_VALUE"""),"")</f>
        <v/>
      </c>
      <c r="O307" s="66">
        <f>IFERROR(__xludf.DUMMYFUNCTION("""COMPUTED_VALUE"""),0.0)</f>
        <v>0</v>
      </c>
      <c r="P307" s="67"/>
      <c r="Q307" s="68">
        <f>IFERROR(__xludf.DUMMYFUNCTION("""COMPUTED_VALUE"""),150.0)</f>
        <v>150</v>
      </c>
      <c r="R307" s="85" t="str">
        <f>IFERROR(__xludf.DUMMYFUNCTION("""COMPUTED_VALUE"""),"Oppenheimer &amp; Co.")</f>
        <v>Oppenheimer &amp; Co.</v>
      </c>
      <c r="S307" s="64">
        <f>IFERROR(__xludf.DUMMYFUNCTION("""COMPUTED_VALUE"""),45086.0)</f>
        <v>45086</v>
      </c>
      <c r="T307" s="70" t="str">
        <f>IFERROR(__xludf.DUMMYFUNCTION("""COMPUTED_VALUE"""),"")</f>
        <v/>
      </c>
      <c r="U307" s="71" t="str">
        <f>IFERROR(__xludf.DUMMYFUNCTION("""COMPUTED_VALUE"""),"https://www.sec.gov/cgi-bin/browse-edgar?CIK=1845459")</f>
        <v>https://www.sec.gov/cgi-bin/browse-edgar?CIK=1845459</v>
      </c>
      <c r="V307" s="72" t="str">
        <f>IFERROR(__xludf.DUMMYFUNCTION("""COMPUTED_VALUE"""),"          Serial Sponsor  ")</f>
        <v>          Serial Sponsor  </v>
      </c>
      <c r="W307" s="73"/>
      <c r="X307" s="74"/>
      <c r="Y307" s="75"/>
      <c r="Z307" s="60"/>
      <c r="AA307" s="60"/>
      <c r="AB307" s="60"/>
      <c r="AC307" s="60"/>
      <c r="AD307" s="73"/>
      <c r="AE307" s="73"/>
      <c r="AF307" s="76"/>
      <c r="AG307" s="60"/>
    </row>
    <row r="308">
      <c r="A308" s="54" t="str">
        <f>IFERROR(__xludf.DUMMYFUNCTION("""COMPUTED_VALUE"""),"GFX")</f>
        <v>GFX</v>
      </c>
      <c r="B308" s="55" t="str">
        <f>IFERROR(__xludf.DUMMYFUNCTION("""COMPUTED_VALUE"""),"Golden Falcon Acquisition Corp.")</f>
        <v>Golden Falcon Acquisition Corp.</v>
      </c>
      <c r="C308" s="56" t="str">
        <f>IFERROR(__xludf.DUMMYFUNCTION("""COMPUTED_VALUE"""),"Searching")</f>
        <v>Searching</v>
      </c>
      <c r="D308" s="57" t="str">
        <f>IFERROR(__xludf.DUMMYFUNCTION("""COMPUTED_VALUE"""),"TMT, Fintech (Europe, Israel, Middle East, North America)")</f>
        <v>TMT, Fintech (Europe, Israel, Middle East, North America)</v>
      </c>
      <c r="E308" s="58"/>
      <c r="F308" s="59" t="str">
        <f>IFERROR(__xludf.DUMMYFUNCTION("""COMPUTED_VALUE"""),"Makram Azar (Fmr Chairman of Banking EMEA, Barclays), Xavier Rolet (Fmr CEO, London Stock Exchange; Fmr CEO, CQS), Scott Freidheim")</f>
        <v>Makram Azar (Fmr Chairman of Banking EMEA, Barclays), Xavier Rolet (Fmr CEO, London Stock Exchange; Fmr CEO, CQS), Scott Freidheim</v>
      </c>
      <c r="G308" s="60">
        <f>IFERROR(__xludf.DUMMYFUNCTION("""COMPUTED_VALUE"""),3.4500937E8)</f>
        <v>345009370</v>
      </c>
      <c r="H308" s="60">
        <f>IFERROR(__xludf.DUMMYFUNCTION("""COMPUTED_VALUE"""),3.4017E8)</f>
        <v>340170000</v>
      </c>
      <c r="I308" s="61">
        <f>IFERROR(__xludf.DUMMYFUNCTION("""COMPUTED_VALUE"""),9.86)</f>
        <v>9.86</v>
      </c>
      <c r="J308" s="62">
        <f>IFERROR(__xludf.DUMMYFUNCTION("""COMPUTED_VALUE"""),0.00102)</f>
        <v>0.00102</v>
      </c>
      <c r="K308" s="59">
        <f>IFERROR(__xludf.DUMMYFUNCTION("""COMPUTED_VALUE"""),10.2)</f>
        <v>10.2</v>
      </c>
      <c r="L308" s="63">
        <f>IFERROR(__xludf.DUMMYFUNCTION("""COMPUTED_VALUE"""),0.82)</f>
        <v>0.82</v>
      </c>
      <c r="M308" s="64" t="str">
        <f>IFERROR(__xludf.DUMMYFUNCTION("""COMPUTED_VALUE"""),"U: [1/2 W]; W: [1:1, $11.5]")</f>
        <v>U: [1/2 W]; W: [1:1, $11.5]</v>
      </c>
      <c r="N308" s="65">
        <f>IFERROR(__xludf.DUMMYFUNCTION("""COMPUTED_VALUE"""),44235.0)</f>
        <v>44235</v>
      </c>
      <c r="O308" s="66">
        <f>IFERROR(__xludf.DUMMYFUNCTION("""COMPUTED_VALUE"""),0.0)</f>
        <v>0</v>
      </c>
      <c r="P308" s="67">
        <f>IFERROR(__xludf.DUMMYFUNCTION("""COMPUTED_VALUE"""),44182.0)</f>
        <v>44182</v>
      </c>
      <c r="Q308" s="68">
        <f>IFERROR(__xludf.DUMMYFUNCTION("""COMPUTED_VALUE"""),345.0)</f>
        <v>345</v>
      </c>
      <c r="R308" s="85" t="str">
        <f>IFERROR(__xludf.DUMMYFUNCTION("""COMPUTED_VALUE"""),"UBS, Moelis &amp; Co")</f>
        <v>UBS, Moelis &amp; Co</v>
      </c>
      <c r="S308" s="64">
        <f>IFERROR(__xludf.DUMMYFUNCTION("""COMPUTED_VALUE"""),44912.0)</f>
        <v>44912</v>
      </c>
      <c r="T308" s="70">
        <f>IFERROR(__xludf.DUMMYFUNCTION("""COMPUTED_VALUE"""),0.15616438356164383)</f>
        <v>0.1561643836</v>
      </c>
      <c r="U308" s="71" t="str">
        <f>IFERROR(__xludf.DUMMYFUNCTION("""COMPUTED_VALUE"""),"https://www.sec.gov/cgi-bin/browse-edgar?CIK=1823896")</f>
        <v>https://www.sec.gov/cgi-bin/browse-edgar?CIK=1823896</v>
      </c>
      <c r="V308" s="72" t="str">
        <f>IFERROR(__xludf.DUMMYFUNCTION("""COMPUTED_VALUE""")," Trading Below $10 (Common)           ")</f>
        <v> Trading Below $10 (Common)           </v>
      </c>
      <c r="W308" s="73"/>
      <c r="X308" s="74"/>
      <c r="Y308" s="75"/>
      <c r="Z308" s="60"/>
      <c r="AA308" s="60"/>
      <c r="AB308" s="60"/>
      <c r="AC308" s="60"/>
      <c r="AD308" s="73"/>
      <c r="AE308" s="73"/>
      <c r="AF308" s="76"/>
      <c r="AG308" s="60" t="str">
        <f>IFERROR(__xludf.DUMMYFUNCTION("""COMPUTED_VALUE"""),"")</f>
        <v/>
      </c>
    </row>
    <row r="309">
      <c r="A309" s="54" t="str">
        <f>IFERROR(__xludf.DUMMYFUNCTION("""COMPUTED_VALUE"""),"GGI")</f>
        <v>GGI</v>
      </c>
      <c r="B309" s="55" t="str">
        <f>IFERROR(__xludf.DUMMYFUNCTION("""COMPUTED_VALUE"""),"Guggenheim Special Purpose Acquisition Corp. I")</f>
        <v>Guggenheim Special Purpose Acquisition Corp. I</v>
      </c>
      <c r="C309" s="56" t="str">
        <f>IFERROR(__xludf.DUMMYFUNCTION("""COMPUTED_VALUE"""),"Pre IPO")</f>
        <v>Pre IPO</v>
      </c>
      <c r="D309" s="57" t="str">
        <f>IFERROR(__xludf.DUMMYFUNCTION("""COMPUTED_VALUE"""),"Financial Services")</f>
        <v>Financial Services</v>
      </c>
      <c r="E309" s="58"/>
      <c r="F309" s="59" t="str">
        <f>IFERROR(__xludf.DUMMYFUNCTION("""COMPUTED_VALUE"""),"Andrew Rosenfield (President of Guggenheim Partners)")</f>
        <v>Andrew Rosenfield (President of Guggenheim Partners)</v>
      </c>
      <c r="G309" s="60">
        <f>IFERROR(__xludf.DUMMYFUNCTION("""COMPUTED_VALUE"""),5.0E8)</f>
        <v>500000000</v>
      </c>
      <c r="H309" s="60" t="str">
        <f>IFERROR(__xludf.DUMMYFUNCTION("""COMPUTED_VALUE""")," ")</f>
        <v> </v>
      </c>
      <c r="I309" s="61" t="str">
        <f>IFERROR(__xludf.DUMMYFUNCTION("""COMPUTED_VALUE""")," ")</f>
        <v> </v>
      </c>
      <c r="J309" s="62" t="str">
        <f>IFERROR(__xludf.DUMMYFUNCTION("""COMPUTED_VALUE""")," ")</f>
        <v> </v>
      </c>
      <c r="K309" s="59" t="str">
        <f>IFERROR(__xludf.DUMMYFUNCTION("""COMPUTED_VALUE""")," ")</f>
        <v> </v>
      </c>
      <c r="L309" s="63" t="str">
        <f>IFERROR(__xludf.DUMMYFUNCTION("""COMPUTED_VALUE""")," ")</f>
        <v> </v>
      </c>
      <c r="M309" s="64" t="str">
        <f>IFERROR(__xludf.DUMMYFUNCTION("""COMPUTED_VALUE"""),"U: [1/3 W]; W: [1:1, $11.5]")</f>
        <v>U: [1/3 W]; W: [1:1, $11.5]</v>
      </c>
      <c r="N309" s="65" t="str">
        <f>IFERROR(__xludf.DUMMYFUNCTION("""COMPUTED_VALUE"""),"")</f>
        <v/>
      </c>
      <c r="O309" s="66">
        <f>IFERROR(__xludf.DUMMYFUNCTION("""COMPUTED_VALUE"""),0.0)</f>
        <v>0</v>
      </c>
      <c r="P309" s="67"/>
      <c r="Q309" s="68">
        <f>IFERROR(__xludf.DUMMYFUNCTION("""COMPUTED_VALUE"""),500.0)</f>
        <v>500</v>
      </c>
      <c r="R309" s="85" t="str">
        <f>IFERROR(__xludf.DUMMYFUNCTION("""COMPUTED_VALUE"""),"Citigroup")</f>
        <v>Citigroup</v>
      </c>
      <c r="S309" s="64">
        <f>IFERROR(__xludf.DUMMYFUNCTION("""COMPUTED_VALUE"""),45086.0)</f>
        <v>45086</v>
      </c>
      <c r="T309" s="70" t="str">
        <f>IFERROR(__xludf.DUMMYFUNCTION("""COMPUTED_VALUE"""),"")</f>
        <v/>
      </c>
      <c r="U309" s="71" t="str">
        <f>IFERROR(__xludf.DUMMYFUNCTION("""COMPUTED_VALUE"""),"https://www.sec.gov/cgi-bin/browse-edgar?CIK=1842966")</f>
        <v>https://www.sec.gov/cgi-bin/browse-edgar?CIK=1842966</v>
      </c>
      <c r="V309" s="72" t="str">
        <f>IFERROR(__xludf.DUMMYFUNCTION("""COMPUTED_VALUE"""),"   $500M+ Trust     Well-known Sponsor  Top Tier UW ")</f>
        <v>   $500M+ Trust     Well-known Sponsor  Top Tier UW </v>
      </c>
      <c r="W309" s="73"/>
      <c r="X309" s="74"/>
      <c r="Y309" s="75"/>
      <c r="Z309" s="60"/>
      <c r="AA309" s="60"/>
      <c r="AB309" s="60"/>
      <c r="AC309" s="60"/>
      <c r="AD309" s="73"/>
      <c r="AE309" s="73"/>
      <c r="AF309" s="76"/>
      <c r="AG309" s="60"/>
    </row>
    <row r="310">
      <c r="A310" s="54" t="str">
        <f>IFERROR(__xludf.DUMMYFUNCTION("""COMPUTED_VALUE"""),"GGMC")</f>
        <v>GGMC</v>
      </c>
      <c r="B310" s="55" t="str">
        <f>IFERROR(__xludf.DUMMYFUNCTION("""COMPUTED_VALUE"""),"Glenfarne Merger Corp.")</f>
        <v>Glenfarne Merger Corp.</v>
      </c>
      <c r="C310" s="56" t="str">
        <f>IFERROR(__xludf.DUMMYFUNCTION("""COMPUTED_VALUE"""),"Searching (Pre Unit Split)")</f>
        <v>Searching (Pre Unit Split)</v>
      </c>
      <c r="D310" s="77" t="str">
        <f>IFERROR(__xludf.DUMMYFUNCTION("""COMPUTED_VALUE"""),"Energy Transition, Electrification")</f>
        <v>Energy Transition, Electrification</v>
      </c>
      <c r="E310" s="58"/>
      <c r="F310" s="59"/>
      <c r="G310" s="60">
        <f>IFERROR(__xludf.DUMMYFUNCTION("""COMPUTED_VALUE"""),2.5E8)</f>
        <v>250000000</v>
      </c>
      <c r="H310" s="60" t="str">
        <f>IFERROR(__xludf.DUMMYFUNCTION("""COMPUTED_VALUE""")," ")</f>
        <v> </v>
      </c>
      <c r="I310" s="61" t="str">
        <f>IFERROR(__xludf.DUMMYFUNCTION("""COMPUTED_VALUE""")," ")</f>
        <v> </v>
      </c>
      <c r="J310" s="62" t="str">
        <f>IFERROR(__xludf.DUMMYFUNCTION("""COMPUTED_VALUE""")," ")</f>
        <v> </v>
      </c>
      <c r="K310" s="59">
        <f>IFERROR(__xludf.DUMMYFUNCTION("""COMPUTED_VALUE"""),9.98)</f>
        <v>9.98</v>
      </c>
      <c r="L310" s="63" t="str">
        <f>IFERROR(__xludf.DUMMYFUNCTION("""COMPUTED_VALUE""")," ")</f>
        <v> </v>
      </c>
      <c r="M310" s="64" t="str">
        <f>IFERROR(__xludf.DUMMYFUNCTION("""COMPUTED_VALUE"""),"U: [1/3 W]; W: [1:1, $11.5]")</f>
        <v>U: [1/3 W]; W: [1:1, $11.5]</v>
      </c>
      <c r="N310" s="65">
        <f>IFERROR(__xludf.DUMMYFUNCTION("""COMPUTED_VALUE"""),44325.0)</f>
        <v>44325</v>
      </c>
      <c r="O310" s="66" t="str">
        <f>IFERROR(__xludf.DUMMYFUNCTION("""COMPUTED_VALUE"""),"")</f>
        <v/>
      </c>
      <c r="P310" s="67">
        <f>IFERROR(__xludf.DUMMYFUNCTION("""COMPUTED_VALUE"""),44273.0)</f>
        <v>44273</v>
      </c>
      <c r="Q310" s="68">
        <f>IFERROR(__xludf.DUMMYFUNCTION("""COMPUTED_VALUE"""),250.0)</f>
        <v>250</v>
      </c>
      <c r="R310" s="69" t="str">
        <f>IFERROR(__xludf.DUMMYFUNCTION("""COMPUTED_VALUE"""),"Mizuho Securities")</f>
        <v>Mizuho Securities</v>
      </c>
      <c r="S310" s="64">
        <f>IFERROR(__xludf.DUMMYFUNCTION("""COMPUTED_VALUE"""),45003.0)</f>
        <v>45003</v>
      </c>
      <c r="T310" s="70">
        <f>IFERROR(__xludf.DUMMYFUNCTION("""COMPUTED_VALUE"""),0.031506849315068496)</f>
        <v>0.03150684932</v>
      </c>
      <c r="U310" s="71" t="str">
        <f>IFERROR(__xludf.DUMMYFUNCTION("""COMPUTED_VALUE"""),"https://www.sec.gov/cgi-bin/browse-edgar?CIK=1818880")</f>
        <v>https://www.sec.gov/cgi-bin/browse-edgar?CIK=1818880</v>
      </c>
      <c r="V310" s="72" t="str">
        <f>IFERROR(__xludf.DUMMYFUNCTION("""COMPUTED_VALUE"""),"Sustainability            ")</f>
        <v>Sustainability            </v>
      </c>
      <c r="W310" s="73"/>
      <c r="X310" s="74"/>
      <c r="Y310" s="75"/>
      <c r="Z310" s="60"/>
      <c r="AA310" s="60"/>
      <c r="AB310" s="60"/>
      <c r="AC310" s="60"/>
      <c r="AD310" s="73"/>
      <c r="AE310" s="73"/>
      <c r="AF310" s="76"/>
      <c r="AG310" s="60"/>
    </row>
    <row r="311">
      <c r="A311" s="54" t="str">
        <f>IFERROR(__xludf.DUMMYFUNCTION("""COMPUTED_VALUE"""),"GGPI")</f>
        <v>GGPI</v>
      </c>
      <c r="B311" s="55" t="str">
        <f>IFERROR(__xludf.DUMMYFUNCTION("""COMPUTED_VALUE"""),"Gores Guggenheim, Inc.")</f>
        <v>Gores Guggenheim, Inc.</v>
      </c>
      <c r="C311" s="56" t="str">
        <f>IFERROR(__xludf.DUMMYFUNCTION("""COMPUTED_VALUE"""),"Searching (Pre Unit Split)")</f>
        <v>Searching (Pre Unit Split)</v>
      </c>
      <c r="D311" s="77" t="str">
        <f>IFERROR(__xludf.DUMMYFUNCTION("""COMPUTED_VALUE"""),"Consumer")</f>
        <v>Consumer</v>
      </c>
      <c r="E311" s="58"/>
      <c r="F311" s="59" t="str">
        <f>IFERROR(__xludf.DUMMYFUNCTION("""COMPUTED_VALUE"""),"Alec Gores (Founder/CEO of The Gores Group), Andrew Rosenfield (President of Guggenheim Partners), Nancy Tellem (Director of Metro-Goldwyn-Mayer and Former President of the CBS Network Television Entertainment Group)")</f>
        <v>Alec Gores (Founder/CEO of The Gores Group), Andrew Rosenfield (President of Guggenheim Partners), Nancy Tellem (Director of Metro-Goldwyn-Mayer and Former President of the CBS Network Television Entertainment Group)</v>
      </c>
      <c r="G311" s="60">
        <f>IFERROR(__xludf.DUMMYFUNCTION("""COMPUTED_VALUE"""),7.5E8)</f>
        <v>750000000</v>
      </c>
      <c r="H311" s="60" t="str">
        <f>IFERROR(__xludf.DUMMYFUNCTION("""COMPUTED_VALUE""")," ")</f>
        <v> </v>
      </c>
      <c r="I311" s="61" t="str">
        <f>IFERROR(__xludf.DUMMYFUNCTION("""COMPUTED_VALUE""")," ")</f>
        <v> </v>
      </c>
      <c r="J311" s="62" t="str">
        <f>IFERROR(__xludf.DUMMYFUNCTION("""COMPUTED_VALUE""")," ")</f>
        <v> </v>
      </c>
      <c r="K311" s="59">
        <f>IFERROR(__xludf.DUMMYFUNCTION("""COMPUTED_VALUE"""),10.0)</f>
        <v>10</v>
      </c>
      <c r="L311" s="63" t="str">
        <f>IFERROR(__xludf.DUMMYFUNCTION("""COMPUTED_VALUE""")," ")</f>
        <v> </v>
      </c>
      <c r="M311" s="64" t="str">
        <f>IFERROR(__xludf.DUMMYFUNCTION("""COMPUTED_VALUE"""),"U: [1/5 W]; W: [1:1, $11.5]")</f>
        <v>U: [1/5 W]; W: [1:1, $11.5]</v>
      </c>
      <c r="N311" s="65">
        <f>IFERROR(__xludf.DUMMYFUNCTION("""COMPUTED_VALUE"""),44329.0)</f>
        <v>44329</v>
      </c>
      <c r="O311" s="66">
        <f>IFERROR(__xludf.DUMMYFUNCTION("""COMPUTED_VALUE"""),0.0)</f>
        <v>0</v>
      </c>
      <c r="P311" s="67">
        <f>IFERROR(__xludf.DUMMYFUNCTION("""COMPUTED_VALUE"""),44277.0)</f>
        <v>44277</v>
      </c>
      <c r="Q311" s="68">
        <f>IFERROR(__xludf.DUMMYFUNCTION("""COMPUTED_VALUE"""),750.0)</f>
        <v>750</v>
      </c>
      <c r="R311" s="69" t="str">
        <f>IFERROR(__xludf.DUMMYFUNCTION("""COMPUTED_VALUE"""),"Deutsche Bank Securities, Citigroup, Morgan Stanley")</f>
        <v>Deutsche Bank Securities, Citigroup, Morgan Stanley</v>
      </c>
      <c r="S311" s="64">
        <f>IFERROR(__xludf.DUMMYFUNCTION("""COMPUTED_VALUE"""),45007.0)</f>
        <v>45007</v>
      </c>
      <c r="T311" s="70">
        <f>IFERROR(__xludf.DUMMYFUNCTION("""COMPUTED_VALUE"""),0.026027397260273973)</f>
        <v>0.02602739726</v>
      </c>
      <c r="U311" s="71" t="str">
        <f>IFERROR(__xludf.DUMMYFUNCTION("""COMPUTED_VALUE"""),"https://www.sec.gov/cgi-bin/browse-edgar?CIK=1847127")</f>
        <v>https://www.sec.gov/cgi-bin/browse-edgar?CIK=1847127</v>
      </c>
      <c r="V311" s="72" t="str">
        <f>IFERROR(__xludf.DUMMYFUNCTION("""COMPUTED_VALUE"""),"   $500M+ Trust     Well-known Sponsor Serial Sponsor Top Tier UW ")</f>
        <v>   $500M+ Trust     Well-known Sponsor Serial Sponsor Top Tier UW </v>
      </c>
      <c r="W311" s="73"/>
      <c r="X311" s="74"/>
      <c r="Y311" s="75"/>
      <c r="Z311" s="60"/>
      <c r="AA311" s="60"/>
      <c r="AB311" s="60"/>
      <c r="AC311" s="60"/>
      <c r="AD311" s="73"/>
      <c r="AE311" s="73"/>
      <c r="AF311" s="76"/>
      <c r="AG311" s="60"/>
    </row>
    <row r="312">
      <c r="A312" s="54" t="str">
        <f>IFERROR(__xludf.DUMMYFUNCTION("""COMPUTED_VALUE"""),"GHAC")</f>
        <v>GHAC</v>
      </c>
      <c r="B312" s="55" t="str">
        <f>IFERROR(__xludf.DUMMYFUNCTION("""COMPUTED_VALUE"""),"Gaming &amp; Hospitality Acquisition Corp.")</f>
        <v>Gaming &amp; Hospitality Acquisition Corp.</v>
      </c>
      <c r="C312" s="56" t="str">
        <f>IFERROR(__xludf.DUMMYFUNCTION("""COMPUTED_VALUE"""),"Searching")</f>
        <v>Searching</v>
      </c>
      <c r="D312" s="77" t="str">
        <f>IFERROR(__xludf.DUMMYFUNCTION("""COMPUTED_VALUE"""),"Gaming")</f>
        <v>Gaming</v>
      </c>
      <c r="E312" s="58" t="str">
        <f>IFERROR(__xludf.DUMMYFUNCTION("""COMPUTED_VALUE"""),"Plans to merge with Affinity Gaming &amp; other companies")</f>
        <v>Plans to merge with Affinity Gaming &amp; other companies</v>
      </c>
      <c r="F312" s="59" t="str">
        <f>IFERROR(__xludf.DUMMYFUNCTION("""COMPUTED_VALUE"""),"James Zenni, Jr. (Founder/CEO, ZCG; Chairman, Affinity Gaming), Mary Higgins (CEO, Affinity Gaming)")</f>
        <v>James Zenni, Jr. (Founder/CEO, ZCG; Chairman, Affinity Gaming), Mary Higgins (CEO, Affinity Gaming)</v>
      </c>
      <c r="G312" s="60">
        <f>IFERROR(__xludf.DUMMYFUNCTION("""COMPUTED_VALUE"""),2.0E8)</f>
        <v>200000000</v>
      </c>
      <c r="H312" s="60">
        <f>IFERROR(__xludf.DUMMYFUNCTION("""COMPUTED_VALUE"""),1.98E8)</f>
        <v>198000000</v>
      </c>
      <c r="I312" s="61">
        <f>IFERROR(__xludf.DUMMYFUNCTION("""COMPUTED_VALUE"""),9.9)</f>
        <v>9.9</v>
      </c>
      <c r="J312" s="62">
        <f>IFERROR(__xludf.DUMMYFUNCTION("""COMPUTED_VALUE"""),-0.00802)</f>
        <v>-0.00802</v>
      </c>
      <c r="K312" s="59">
        <f>IFERROR(__xludf.DUMMYFUNCTION("""COMPUTED_VALUE"""),10.01)</f>
        <v>10.01</v>
      </c>
      <c r="L312" s="63">
        <f>IFERROR(__xludf.DUMMYFUNCTION("""COMPUTED_VALUE"""),0.79)</f>
        <v>0.79</v>
      </c>
      <c r="M312" s="64" t="str">
        <f>IFERROR(__xludf.DUMMYFUNCTION("""COMPUTED_VALUE"""),"U: [1/3 W]; W: [1:1, $11.5]")</f>
        <v>U: [1/3 W]; W: [1:1, $11.5]</v>
      </c>
      <c r="N312" s="65" t="str">
        <f>IFERROR(__xludf.DUMMYFUNCTION("""COMPUTED_VALUE"""),"")</f>
        <v/>
      </c>
      <c r="O312" s="66">
        <f>IFERROR(__xludf.DUMMYFUNCTION("""COMPUTED_VALUE"""),0.0)</f>
        <v>0</v>
      </c>
      <c r="P312" s="67">
        <f>IFERROR(__xludf.DUMMYFUNCTION("""COMPUTED_VALUE"""),44229.0)</f>
        <v>44229</v>
      </c>
      <c r="Q312" s="68">
        <f>IFERROR(__xludf.DUMMYFUNCTION("""COMPUTED_VALUE"""),200.0)</f>
        <v>200</v>
      </c>
      <c r="R312" s="85" t="str">
        <f>IFERROR(__xludf.DUMMYFUNCTION("""COMPUTED_VALUE"""),"Deutsche Bank Securities")</f>
        <v>Deutsche Bank Securities</v>
      </c>
      <c r="S312" s="64">
        <f>IFERROR(__xludf.DUMMYFUNCTION("""COMPUTED_VALUE"""),44959.0)</f>
        <v>44959</v>
      </c>
      <c r="T312" s="70">
        <f>IFERROR(__xludf.DUMMYFUNCTION("""COMPUTED_VALUE"""),0.09178082191780822)</f>
        <v>0.09178082192</v>
      </c>
      <c r="U312" s="71" t="str">
        <f>IFERROR(__xludf.DUMMYFUNCTION("""COMPUTED_VALUE"""),"https://www.sec.gov/cgi-bin/browse-edgar?CIK=1806156")</f>
        <v>https://www.sec.gov/cgi-bin/browse-edgar?CIK=1806156</v>
      </c>
      <c r="V312" s="72" t="str">
        <f>IFERROR(__xludf.DUMMYFUNCTION("""COMPUTED_VALUE""")," Trading Below $10 (Common)           ")</f>
        <v> Trading Below $10 (Common)           </v>
      </c>
      <c r="W312" s="73"/>
      <c r="X312" s="74"/>
      <c r="Y312" s="75"/>
      <c r="Z312" s="60"/>
      <c r="AA312" s="60"/>
      <c r="AB312" s="60"/>
      <c r="AC312" s="60"/>
      <c r="AD312" s="73"/>
      <c r="AE312" s="73"/>
      <c r="AF312" s="76"/>
      <c r="AG312" s="60" t="str">
        <f>IFERROR(__xludf.DUMMYFUNCTION("""COMPUTED_VALUE"""),"")</f>
        <v/>
      </c>
    </row>
    <row r="313">
      <c r="A313" s="54" t="str">
        <f>IFERROR(__xludf.DUMMYFUNCTION("""COMPUTED_VALUE"""),"GHVI")</f>
        <v>GHVI</v>
      </c>
      <c r="B313" s="55" t="str">
        <f>IFERROR(__xludf.DUMMYFUNCTION("""COMPUTED_VALUE"""),"Gores Holdings VI, Inc.")</f>
        <v>Gores Holdings VI, Inc.</v>
      </c>
      <c r="C313" s="56" t="str">
        <f>IFERROR(__xludf.DUMMYFUNCTION("""COMPUTED_VALUE"""),"Definitive Agreement")</f>
        <v>Definitive Agreement</v>
      </c>
      <c r="D313" s="57"/>
      <c r="E313" s="58" t="str">
        <f>IFERROR(__xludf.DUMMYFUNCTION("""COMPUTED_VALUE"""),"Matterport [DA: 02/08/21]")</f>
        <v>Matterport [DA: 02/08/21]</v>
      </c>
      <c r="F313" s="59" t="str">
        <f>IFERROR(__xludf.DUMMYFUNCTION("""COMPUTED_VALUE"""),"Alec Gores (Founder of The Gores Group)")</f>
        <v>Alec Gores (Founder of The Gores Group)</v>
      </c>
      <c r="G313" s="60">
        <f>IFERROR(__xludf.DUMMYFUNCTION("""COMPUTED_VALUE"""),3.45E8)</f>
        <v>345000000</v>
      </c>
      <c r="H313" s="60">
        <f>IFERROR(__xludf.DUMMYFUNCTION("""COMPUTED_VALUE"""),4.7058E8)</f>
        <v>470580000</v>
      </c>
      <c r="I313" s="61">
        <f>IFERROR(__xludf.DUMMYFUNCTION("""COMPUTED_VALUE"""),13.64)</f>
        <v>13.64</v>
      </c>
      <c r="J313" s="62">
        <f>IFERROR(__xludf.DUMMYFUNCTION("""COMPUTED_VALUE"""),-0.01302)</f>
        <v>-0.01302</v>
      </c>
      <c r="K313" s="59">
        <f>IFERROR(__xludf.DUMMYFUNCTION("""COMPUTED_VALUE"""),14.41)</f>
        <v>14.41</v>
      </c>
      <c r="L313" s="63">
        <f>IFERROR(__xludf.DUMMYFUNCTION("""COMPUTED_VALUE"""),4.2)</f>
        <v>4.2</v>
      </c>
      <c r="M313" s="64" t="str">
        <f>IFERROR(__xludf.DUMMYFUNCTION("""COMPUTED_VALUE"""),"U: [1/5 W]; W: [1:1, $11.5]")</f>
        <v>U: [1/5 W]; W: [1:1, $11.5]</v>
      </c>
      <c r="N313" s="65" t="str">
        <f>IFERROR(__xludf.DUMMYFUNCTION("""COMPUTED_VALUE"""),"")</f>
        <v/>
      </c>
      <c r="O313" s="66">
        <f>IFERROR(__xludf.DUMMYFUNCTION("""COMPUTED_VALUE"""),2.1400000000000006)</f>
        <v>2.14</v>
      </c>
      <c r="P313" s="67">
        <f>IFERROR(__xludf.DUMMYFUNCTION("""COMPUTED_VALUE"""),44175.0)</f>
        <v>44175</v>
      </c>
      <c r="Q313" s="68">
        <f>IFERROR(__xludf.DUMMYFUNCTION("""COMPUTED_VALUE"""),345.0)</f>
        <v>345</v>
      </c>
      <c r="R313" s="85" t="str">
        <f>IFERROR(__xludf.DUMMYFUNCTION("""COMPUTED_VALUE"""),"Deutsche Bank, Morgan Stanley")</f>
        <v>Deutsche Bank, Morgan Stanley</v>
      </c>
      <c r="S313" s="64">
        <f>IFERROR(__xludf.DUMMYFUNCTION("""COMPUTED_VALUE"""),44905.0)</f>
        <v>44905</v>
      </c>
      <c r="T313" s="70">
        <f>IFERROR(__xludf.DUMMYFUNCTION("""COMPUTED_VALUE"""),0.16575342465753426)</f>
        <v>0.1657534247</v>
      </c>
      <c r="U313" s="71" t="str">
        <f>IFERROR(__xludf.DUMMYFUNCTION("""COMPUTED_VALUE"""),"https://www.sec.gov/cgi-bin/browse-edgar?CIK=1819394")</f>
        <v>https://www.sec.gov/cgi-bin/browse-edgar?CIK=1819394</v>
      </c>
      <c r="V313" s="72" t="str">
        <f>IFERROR(__xludf.DUMMYFUNCTION("""COMPUTED_VALUE"""),"     Optionable    Well-known Sponsor Serial Sponsor Top Tier UW ")</f>
        <v>     Optionable    Well-known Sponsor Serial Sponsor Top Tier UW </v>
      </c>
      <c r="W313" s="73">
        <f>IFERROR(__xludf.DUMMYFUNCTION("""COMPUTED_VALUE"""),44235.0)</f>
        <v>44235</v>
      </c>
      <c r="X313" s="79">
        <f>IFERROR(__xludf.DUMMYFUNCTION("""COMPUTED_VALUE"""),2.0)</f>
        <v>2</v>
      </c>
      <c r="Y313" s="80" t="str">
        <f>IFERROR(__xludf.DUMMYFUNCTION("""COMPUTED_VALUE"""),"https://www.prnewswire.com/news-releases/matterport-the-spatial-data-company-leading-the-digital-transformation-of-the-built-world-announces-proposed-business-combination-with-gores-holdings-vi-301223805.html")</f>
        <v>https://www.prnewswire.com/news-releases/matterport-the-spatial-data-company-leading-the-digital-transformation-of-the-built-world-announces-proposed-business-combination-with-gores-holdings-vi-301223805.html</v>
      </c>
      <c r="Z313" s="81" t="str">
        <f>IFERROR(__xludf.DUMMYFUNCTION("""COMPUTED_VALUE"""),"https://www.sec.gov/Archives/edgar/data/1819394/000119312521031520/d42860dex992.htm")</f>
        <v>https://www.sec.gov/Archives/edgar/data/1819394/000119312521031520/d42860dex992.htm</v>
      </c>
      <c r="AA313" s="60">
        <f>IFERROR(__xludf.DUMMYFUNCTION("""COMPUTED_VALUE"""),2.95E8)</f>
        <v>295000000</v>
      </c>
      <c r="AB313" s="60">
        <f>IFERROR(__xludf.DUMMYFUNCTION("""COMPUTED_VALUE"""),2.915E9)</f>
        <v>2915000000</v>
      </c>
      <c r="AC313" s="60">
        <f>IFERROR(__xludf.DUMMYFUNCTION("""COMPUTED_VALUE"""),2.26E9)</f>
        <v>2260000000</v>
      </c>
      <c r="AD313" s="73"/>
      <c r="AE313" s="73"/>
      <c r="AF313" s="76">
        <f>IFERROR(__xludf.DUMMYFUNCTION("""COMPUTED_VALUE"""),2.915E8)</f>
        <v>291500000</v>
      </c>
      <c r="AG313" s="60">
        <f>IFERROR(__xludf.DUMMYFUNCTION("""COMPUTED_VALUE"""),3.97606E9)</f>
        <v>3976060000</v>
      </c>
    </row>
    <row r="314">
      <c r="A314" s="54" t="str">
        <f>IFERROR(__xludf.DUMMYFUNCTION("""COMPUTED_VALUE"""),"GIA")</f>
        <v>GIA</v>
      </c>
      <c r="B314" s="55" t="str">
        <f>IFERROR(__xludf.DUMMYFUNCTION("""COMPUTED_VALUE"""),"GigCapital5, Inc.")</f>
        <v>GigCapital5, Inc.</v>
      </c>
      <c r="C314" s="56" t="str">
        <f>IFERROR(__xludf.DUMMYFUNCTION("""COMPUTED_VALUE"""),"Pre IPO")</f>
        <v>Pre IPO</v>
      </c>
      <c r="D314" s="57" t="str">
        <f>IFERROR(__xludf.DUMMYFUNCTION("""COMPUTED_VALUE"""),"TMT, Aerospace &amp; Defense, Automation, Sustainability")</f>
        <v>TMT, Aerospace &amp; Defense, Automation, Sustainability</v>
      </c>
      <c r="E314" s="58"/>
      <c r="F314" s="59" t="str">
        <f>IFERROR(__xludf.DUMMYFUNCTION("""COMPUTED_VALUE"""),"Avi Katz (Tech entrepreneur; Fmr CEO of Gig Optix and GigCapital I)")</f>
        <v>Avi Katz (Tech entrepreneur; Fmr CEO of Gig Optix and GigCapital I)</v>
      </c>
      <c r="G314" s="60">
        <f>IFERROR(__xludf.DUMMYFUNCTION("""COMPUTED_VALUE"""),3.5E8)</f>
        <v>350000000</v>
      </c>
      <c r="H314" s="60" t="str">
        <f>IFERROR(__xludf.DUMMYFUNCTION("""COMPUTED_VALUE""")," ")</f>
        <v> </v>
      </c>
      <c r="I314" s="61" t="str">
        <f>IFERROR(__xludf.DUMMYFUNCTION("""COMPUTED_VALUE""")," ")</f>
        <v> </v>
      </c>
      <c r="J314" s="62" t="str">
        <f>IFERROR(__xludf.DUMMYFUNCTION("""COMPUTED_VALUE""")," ")</f>
        <v> </v>
      </c>
      <c r="K314" s="59" t="str">
        <f>IFERROR(__xludf.DUMMYFUNCTION("""COMPUTED_VALUE""")," ")</f>
        <v> </v>
      </c>
      <c r="L314" s="63" t="str">
        <f>IFERROR(__xludf.DUMMYFUNCTION("""COMPUTED_VALUE""")," ")</f>
        <v> </v>
      </c>
      <c r="M314" s="64" t="str">
        <f>IFERROR(__xludf.DUMMYFUNCTION("""COMPUTED_VALUE"""),"U: [1/3 W]; W: [1:1, $11.5]")</f>
        <v>U: [1/3 W]; W: [1:1, $11.5]</v>
      </c>
      <c r="N314" s="65" t="str">
        <f>IFERROR(__xludf.DUMMYFUNCTION("""COMPUTED_VALUE"""),"")</f>
        <v/>
      </c>
      <c r="O314" s="66">
        <f>IFERROR(__xludf.DUMMYFUNCTION("""COMPUTED_VALUE"""),0.0)</f>
        <v>0</v>
      </c>
      <c r="P314" s="67"/>
      <c r="Q314" s="68">
        <f>IFERROR(__xludf.DUMMYFUNCTION("""COMPUTED_VALUE"""),350.0)</f>
        <v>350</v>
      </c>
      <c r="R314" s="69" t="str">
        <f>IFERROR(__xludf.DUMMYFUNCTION("""COMPUTED_VALUE"""),"Oppenheimer &amp; Co., William Blair")</f>
        <v>Oppenheimer &amp; Co., William Blair</v>
      </c>
      <c r="S314" s="64">
        <f>IFERROR(__xludf.DUMMYFUNCTION("""COMPUTED_VALUE"""),45086.0)</f>
        <v>45086</v>
      </c>
      <c r="T314" s="70" t="str">
        <f>IFERROR(__xludf.DUMMYFUNCTION("""COMPUTED_VALUE"""),"")</f>
        <v/>
      </c>
      <c r="U314" s="71" t="str">
        <f>IFERROR(__xludf.DUMMYFUNCTION("""COMPUTED_VALUE"""),"https://www.sec.gov/cgi-bin/browse-edgar?CIK=1844505")</f>
        <v>https://www.sec.gov/cgi-bin/browse-edgar?CIK=1844505</v>
      </c>
      <c r="V314" s="72" t="str">
        <f>IFERROR(__xludf.DUMMYFUNCTION("""COMPUTED_VALUE"""),"          Serial Sponsor  ")</f>
        <v>          Serial Sponsor  </v>
      </c>
      <c r="W314" s="73"/>
      <c r="X314" s="74"/>
      <c r="Y314" s="75"/>
      <c r="Z314" s="60"/>
      <c r="AA314" s="60"/>
      <c r="AB314" s="60"/>
      <c r="AC314" s="60"/>
      <c r="AD314" s="73"/>
      <c r="AE314" s="73"/>
      <c r="AF314" s="76"/>
      <c r="AG314" s="60"/>
    </row>
    <row r="315">
      <c r="A315" s="54" t="str">
        <f>IFERROR(__xludf.DUMMYFUNCTION("""COMPUTED_VALUE"""),"GIF")</f>
        <v>GIF</v>
      </c>
      <c r="B315" s="55" t="str">
        <f>IFERROR(__xludf.DUMMYFUNCTION("""COMPUTED_VALUE"""),"GigCapital6, Inc.")</f>
        <v>GigCapital6, Inc.</v>
      </c>
      <c r="C315" s="56" t="str">
        <f>IFERROR(__xludf.DUMMYFUNCTION("""COMPUTED_VALUE"""),"Pre IPO")</f>
        <v>Pre IPO</v>
      </c>
      <c r="D315" s="77" t="str">
        <f>IFERROR(__xludf.DUMMYFUNCTION("""COMPUTED_VALUE"""),"TMT, Cybersecurity, Privacy, Sustainability")</f>
        <v>TMT, Cybersecurity, Privacy, Sustainability</v>
      </c>
      <c r="E315" s="58"/>
      <c r="F315" s="59" t="str">
        <f>IFERROR(__xludf.DUMMYFUNCTION("""COMPUTED_VALUE"""),"Avi Katz (Tech entrepreneur; Fmr CEO of Gig Optix and GigCapital I)")</f>
        <v>Avi Katz (Tech entrepreneur; Fmr CEO of Gig Optix and GigCapital I)</v>
      </c>
      <c r="G315" s="60">
        <f>IFERROR(__xludf.DUMMYFUNCTION("""COMPUTED_VALUE"""),3.5E8)</f>
        <v>350000000</v>
      </c>
      <c r="H315" s="60" t="str">
        <f>IFERROR(__xludf.DUMMYFUNCTION("""COMPUTED_VALUE""")," ")</f>
        <v> </v>
      </c>
      <c r="I315" s="61" t="str">
        <f>IFERROR(__xludf.DUMMYFUNCTION("""COMPUTED_VALUE""")," ")</f>
        <v> </v>
      </c>
      <c r="J315" s="62" t="str">
        <f>IFERROR(__xludf.DUMMYFUNCTION("""COMPUTED_VALUE""")," ")</f>
        <v> </v>
      </c>
      <c r="K315" s="59" t="str">
        <f>IFERROR(__xludf.DUMMYFUNCTION("""COMPUTED_VALUE""")," ")</f>
        <v> </v>
      </c>
      <c r="L315" s="63" t="str">
        <f>IFERROR(__xludf.DUMMYFUNCTION("""COMPUTED_VALUE""")," ")</f>
        <v> </v>
      </c>
      <c r="M315" s="64" t="str">
        <f>IFERROR(__xludf.DUMMYFUNCTION("""COMPUTED_VALUE"""),"U: [1/3 W]; W: [1:1, $11.5]")</f>
        <v>U: [1/3 W]; W: [1:1, $11.5]</v>
      </c>
      <c r="N315" s="65" t="str">
        <f>IFERROR(__xludf.DUMMYFUNCTION("""COMPUTED_VALUE"""),"")</f>
        <v/>
      </c>
      <c r="O315" s="66">
        <f>IFERROR(__xludf.DUMMYFUNCTION("""COMPUTED_VALUE"""),0.0)</f>
        <v>0</v>
      </c>
      <c r="P315" s="67"/>
      <c r="Q315" s="68">
        <f>IFERROR(__xludf.DUMMYFUNCTION("""COMPUTED_VALUE"""),350.0)</f>
        <v>350</v>
      </c>
      <c r="R315" s="85" t="str">
        <f>IFERROR(__xludf.DUMMYFUNCTION("""COMPUTED_VALUE"""),"Oppenheimer &amp; Co., William Blair")</f>
        <v>Oppenheimer &amp; Co., William Blair</v>
      </c>
      <c r="S315" s="64">
        <f>IFERROR(__xludf.DUMMYFUNCTION("""COMPUTED_VALUE"""),45086.0)</f>
        <v>45086</v>
      </c>
      <c r="T315" s="70" t="str">
        <f>IFERROR(__xludf.DUMMYFUNCTION("""COMPUTED_VALUE"""),"")</f>
        <v/>
      </c>
      <c r="U315" s="71" t="str">
        <f>IFERROR(__xludf.DUMMYFUNCTION("""COMPUTED_VALUE"""),"https://www.sec.gov/cgi-bin/browse-edgar?CIK=1844512")</f>
        <v>https://www.sec.gov/cgi-bin/browse-edgar?CIK=1844512</v>
      </c>
      <c r="V315" s="72" t="str">
        <f>IFERROR(__xludf.DUMMYFUNCTION("""COMPUTED_VALUE"""),"          Serial Sponsor  ")</f>
        <v>          Serial Sponsor  </v>
      </c>
      <c r="W315" s="73"/>
      <c r="X315" s="74"/>
      <c r="Y315" s="75"/>
      <c r="Z315" s="60"/>
      <c r="AA315" s="60"/>
      <c r="AB315" s="60"/>
      <c r="AC315" s="60"/>
      <c r="AD315" s="73"/>
      <c r="AE315" s="73"/>
      <c r="AF315" s="76"/>
      <c r="AG315" s="60"/>
    </row>
    <row r="316">
      <c r="A316" s="54" t="str">
        <f>IFERROR(__xludf.DUMMYFUNCTION("""COMPUTED_VALUE"""),"GIG")</f>
        <v>GIG</v>
      </c>
      <c r="B316" s="55" t="str">
        <f>IFERROR(__xludf.DUMMYFUNCTION("""COMPUTED_VALUE"""),"GigCapital4, Inc.")</f>
        <v>GigCapital4, Inc.</v>
      </c>
      <c r="C316" s="56" t="str">
        <f>IFERROR(__xludf.DUMMYFUNCTION("""COMPUTED_VALUE"""),"Searching")</f>
        <v>Searching</v>
      </c>
      <c r="D316" s="57" t="str">
        <f>IFERROR(__xludf.DUMMYFUNCTION("""COMPUTED_VALUE"""),"TMT (Tech, Media, Telecom), Sustainability")</f>
        <v>TMT (Tech, Media, Telecom), Sustainability</v>
      </c>
      <c r="E316" s="58"/>
      <c r="F316" s="59" t="str">
        <f>IFERROR(__xludf.DUMMYFUNCTION("""COMPUTED_VALUE"""),"Avi Katz (Tech entrepreneur; Fmr CEO of Gig Optix and GigCapital I)")</f>
        <v>Avi Katz (Tech entrepreneur; Fmr CEO of Gig Optix and GigCapital I)</v>
      </c>
      <c r="G316" s="60">
        <f>IFERROR(__xludf.DUMMYFUNCTION("""COMPUTED_VALUE"""),3.588E8)</f>
        <v>358800000</v>
      </c>
      <c r="H316" s="60">
        <f>IFERROR(__xludf.DUMMYFUNCTION("""COMPUTED_VALUE"""),3.4524256E8)</f>
        <v>345242560</v>
      </c>
      <c r="I316" s="61">
        <f>IFERROR(__xludf.DUMMYFUNCTION("""COMPUTED_VALUE"""),9.62)</f>
        <v>9.62</v>
      </c>
      <c r="J316" s="62">
        <f>IFERROR(__xludf.DUMMYFUNCTION("""COMPUTED_VALUE"""),-0.00927)</f>
        <v>-0.00927</v>
      </c>
      <c r="K316" s="59" t="str">
        <f>IFERROR(__xludf.DUMMYFUNCTION("""COMPUTED_VALUE""")," ")</f>
        <v> </v>
      </c>
      <c r="L316" s="63" t="str">
        <f>IFERROR(__xludf.DUMMYFUNCTION("""COMPUTED_VALUE""")," ")</f>
        <v> </v>
      </c>
      <c r="M316" s="64" t="str">
        <f>IFERROR(__xludf.DUMMYFUNCTION("""COMPUTED_VALUE"""),"U: [1/3 W]; W: [1:1, $11.5]")</f>
        <v>U: [1/3 W]; W: [1:1, $11.5]</v>
      </c>
      <c r="N316" s="65" t="str">
        <f>IFERROR(__xludf.DUMMYFUNCTION("""COMPUTED_VALUE"""),"")</f>
        <v/>
      </c>
      <c r="O316" s="66">
        <f>IFERROR(__xludf.DUMMYFUNCTION("""COMPUTED_VALUE"""),0.0)</f>
        <v>0</v>
      </c>
      <c r="P316" s="67">
        <f>IFERROR(__xludf.DUMMYFUNCTION("""COMPUTED_VALUE"""),44235.0)</f>
        <v>44235</v>
      </c>
      <c r="Q316" s="68">
        <f>IFERROR(__xludf.DUMMYFUNCTION("""COMPUTED_VALUE"""),358.8)</f>
        <v>358.8</v>
      </c>
      <c r="R316" s="85" t="str">
        <f>IFERROR(__xludf.DUMMYFUNCTION("""COMPUTED_VALUE"""),"Nomura, Oppenheimer")</f>
        <v>Nomura, Oppenheimer</v>
      </c>
      <c r="S316" s="64">
        <f>IFERROR(__xludf.DUMMYFUNCTION("""COMPUTED_VALUE"""),44965.0)</f>
        <v>44965</v>
      </c>
      <c r="T316" s="70">
        <f>IFERROR(__xludf.DUMMYFUNCTION("""COMPUTED_VALUE"""),0.08356164383561644)</f>
        <v>0.08356164384</v>
      </c>
      <c r="U316" s="71" t="str">
        <f>IFERROR(__xludf.DUMMYFUNCTION("""COMPUTED_VALUE"""),"https://www.sec.gov/cgi-bin/browse-edgar?CIK=1836981")</f>
        <v>https://www.sec.gov/cgi-bin/browse-edgar?CIK=1836981</v>
      </c>
      <c r="V316" s="72" t="str">
        <f>IFERROR(__xludf.DUMMYFUNCTION("""COMPUTED_VALUE""")," Trading Below $10 (Common)         Serial Sponsor  ")</f>
        <v> Trading Below $10 (Common)         Serial Sponsor  </v>
      </c>
      <c r="W316" s="73"/>
      <c r="X316" s="74"/>
      <c r="Y316" s="75"/>
      <c r="Z316" s="60"/>
      <c r="AA316" s="60"/>
      <c r="AB316" s="60"/>
      <c r="AC316" s="60"/>
      <c r="AD316" s="73"/>
      <c r="AE316" s="73"/>
      <c r="AF316" s="76"/>
      <c r="AG316" s="60" t="str">
        <f>IFERROR(__xludf.DUMMYFUNCTION("""COMPUTED_VALUE"""),"")</f>
        <v/>
      </c>
    </row>
    <row r="317">
      <c r="A317" s="54" t="str">
        <f>IFERROR(__xludf.DUMMYFUNCTION("""COMPUTED_VALUE"""),"GIIX")</f>
        <v>GIIX</v>
      </c>
      <c r="B317" s="55" t="str">
        <f>IFERROR(__xludf.DUMMYFUNCTION("""COMPUTED_VALUE"""),"Gores Holdings VIII, Inc.")</f>
        <v>Gores Holdings VIII, Inc.</v>
      </c>
      <c r="C317" s="56" t="str">
        <f>IFERROR(__xludf.DUMMYFUNCTION("""COMPUTED_VALUE"""),"Searching (Pre Unit Split)")</f>
        <v>Searching (Pre Unit Split)</v>
      </c>
      <c r="D317" s="57"/>
      <c r="E317" s="58"/>
      <c r="F317" s="59" t="str">
        <f>IFERROR(__xludf.DUMMYFUNCTION("""COMPUTED_VALUE"""),"Alec Gores (Founder of The Gores Group)")</f>
        <v>Alec Gores (Founder of The Gores Group)</v>
      </c>
      <c r="G317" s="60">
        <f>IFERROR(__xludf.DUMMYFUNCTION("""COMPUTED_VALUE"""),3.45E8)</f>
        <v>345000000</v>
      </c>
      <c r="H317" s="60" t="str">
        <f>IFERROR(__xludf.DUMMYFUNCTION("""COMPUTED_VALUE""")," ")</f>
        <v> </v>
      </c>
      <c r="I317" s="61" t="str">
        <f>IFERROR(__xludf.DUMMYFUNCTION("""COMPUTED_VALUE""")," ")</f>
        <v> </v>
      </c>
      <c r="J317" s="62" t="str">
        <f>IFERROR(__xludf.DUMMYFUNCTION("""COMPUTED_VALUE""")," ")</f>
        <v> </v>
      </c>
      <c r="K317" s="59">
        <f>IFERROR(__xludf.DUMMYFUNCTION("""COMPUTED_VALUE"""),10.0339)</f>
        <v>10.0339</v>
      </c>
      <c r="L317" s="63" t="str">
        <f>IFERROR(__xludf.DUMMYFUNCTION("""COMPUTED_VALUE""")," ")</f>
        <v> </v>
      </c>
      <c r="M317" s="64" t="str">
        <f>IFERROR(__xludf.DUMMYFUNCTION("""COMPUTED_VALUE"""),"U: [1/8 W]; W: [1:1, $11.5]")</f>
        <v>U: [1/8 W]; W: [1:1, $11.5]</v>
      </c>
      <c r="N317" s="65">
        <f>IFERROR(__xludf.DUMMYFUNCTION("""COMPUTED_VALUE"""),44303.0)</f>
        <v>44303</v>
      </c>
      <c r="O317" s="66" t="str">
        <f>IFERROR(__xludf.DUMMYFUNCTION("""COMPUTED_VALUE"""),"")</f>
        <v/>
      </c>
      <c r="P317" s="67">
        <f>IFERROR(__xludf.DUMMYFUNCTION("""COMPUTED_VALUE"""),44251.0)</f>
        <v>44251</v>
      </c>
      <c r="Q317" s="68">
        <f>IFERROR(__xludf.DUMMYFUNCTION("""COMPUTED_VALUE"""),345.0)</f>
        <v>345</v>
      </c>
      <c r="R317" s="69" t="str">
        <f>IFERROR(__xludf.DUMMYFUNCTION("""COMPUTED_VALUE"""),"Deutsche Bank Securities")</f>
        <v>Deutsche Bank Securities</v>
      </c>
      <c r="S317" s="64">
        <f>IFERROR(__xludf.DUMMYFUNCTION("""COMPUTED_VALUE"""),44981.0)</f>
        <v>44981</v>
      </c>
      <c r="T317" s="70">
        <f>IFERROR(__xludf.DUMMYFUNCTION("""COMPUTED_VALUE"""),0.06164383561643835)</f>
        <v>0.06164383562</v>
      </c>
      <c r="U317" s="71" t="str">
        <f>IFERROR(__xludf.DUMMYFUNCTION("""COMPUTED_VALUE"""),"https://www.sec.gov/cgi-bin/browse-edgar?CIK=1841080")</f>
        <v>https://www.sec.gov/cgi-bin/browse-edgar?CIK=1841080</v>
      </c>
      <c r="V317" s="72" t="str">
        <f>IFERROR(__xludf.DUMMYFUNCTION("""COMPUTED_VALUE"""),"         Well-known Sponsor Serial Sponsor  ")</f>
        <v>         Well-known Sponsor Serial Sponsor  </v>
      </c>
      <c r="W317" s="73"/>
      <c r="X317" s="74"/>
      <c r="Y317" s="75"/>
      <c r="Z317" s="60"/>
      <c r="AA317" s="60"/>
      <c r="AB317" s="60"/>
      <c r="AC317" s="60"/>
      <c r="AD317" s="73"/>
      <c r="AE317" s="73"/>
      <c r="AF317" s="76"/>
      <c r="AG317" s="60" t="str">
        <f>IFERROR(__xludf.DUMMYFUNCTION("""COMPUTED_VALUE"""),"")</f>
        <v/>
      </c>
    </row>
    <row r="318">
      <c r="A318" s="54" t="str">
        <f>IFERROR(__xludf.DUMMYFUNCTION("""COMPUTED_VALUE"""),"GIK")</f>
        <v>GIK</v>
      </c>
      <c r="B318" s="55" t="str">
        <f>IFERROR(__xludf.DUMMYFUNCTION("""COMPUTED_VALUE"""),"GigCapital3 Inc")</f>
        <v>GigCapital3 Inc</v>
      </c>
      <c r="C318" s="56" t="str">
        <f>IFERROR(__xludf.DUMMYFUNCTION("""COMPUTED_VALUE"""),"Definitive Agreement")</f>
        <v>Definitive Agreement</v>
      </c>
      <c r="D318" s="57" t="str">
        <f>IFERROR(__xludf.DUMMYFUNCTION("""COMPUTED_VALUE"""),"TMT (Tech, Media, Telecom)")</f>
        <v>TMT (Tech, Media, Telecom)</v>
      </c>
      <c r="E318" s="58" t="str">
        <f>IFERROR(__xludf.DUMMYFUNCTION("""COMPUTED_VALUE"""),"Lightning eMotors [DA: 12/10/20]")</f>
        <v>Lightning eMotors [DA: 12/10/20]</v>
      </c>
      <c r="F318" s="59" t="str">
        <f>IFERROR(__xludf.DUMMYFUNCTION("""COMPUTED_VALUE"""),"Avi Katz (Tech entrepreneur; Fmr CEO of Gig Optix and GigCapital I)")</f>
        <v>Avi Katz (Tech entrepreneur; Fmr CEO of Gig Optix and GigCapital I)</v>
      </c>
      <c r="G318" s="60">
        <f>IFERROR(__xludf.DUMMYFUNCTION("""COMPUTED_VALUE"""),2.02029414E8)</f>
        <v>202029414</v>
      </c>
      <c r="H318" s="60">
        <f>IFERROR(__xludf.DUMMYFUNCTION("""COMPUTED_VALUE"""),2.62300942E8)</f>
        <v>262300942</v>
      </c>
      <c r="I318" s="61">
        <f>IFERROR(__xludf.DUMMYFUNCTION("""COMPUTED_VALUE"""),10.13)</f>
        <v>10.13</v>
      </c>
      <c r="J318" s="62">
        <f>IFERROR(__xludf.DUMMYFUNCTION("""COMPUTED_VALUE"""),-0.01841)</f>
        <v>-0.01841</v>
      </c>
      <c r="K318" s="59">
        <f>IFERROR(__xludf.DUMMYFUNCTION("""COMPUTED_VALUE"""),11.8891)</f>
        <v>11.8891</v>
      </c>
      <c r="L318" s="63">
        <f>IFERROR(__xludf.DUMMYFUNCTION("""COMPUTED_VALUE"""),2.31)</f>
        <v>2.31</v>
      </c>
      <c r="M318" s="64" t="str">
        <f>IFERROR(__xludf.DUMMYFUNCTION("""COMPUTED_VALUE"""),"U: [3/4 W]; W: [1:1, $11.5]")</f>
        <v>U: [3/4 W]; W: [1:1, $11.5]</v>
      </c>
      <c r="N318" s="65" t="str">
        <f>IFERROR(__xludf.DUMMYFUNCTION("""COMPUTED_VALUE"""),"")</f>
        <v/>
      </c>
      <c r="O318" s="66">
        <f>IFERROR(__xludf.DUMMYFUNCTION("""COMPUTED_VALUE"""),0.0)</f>
        <v>0</v>
      </c>
      <c r="P318" s="67">
        <f>IFERROR(__xludf.DUMMYFUNCTION("""COMPUTED_VALUE"""),43965.0)</f>
        <v>43965</v>
      </c>
      <c r="Q318" s="68">
        <f>IFERROR(__xludf.DUMMYFUNCTION("""COMPUTED_VALUE"""),202.0)</f>
        <v>202</v>
      </c>
      <c r="R318" s="85" t="str">
        <f>IFERROR(__xludf.DUMMYFUNCTION("""COMPUTED_VALUE"""),"Nomura, Oppenheimer")</f>
        <v>Nomura, Oppenheimer</v>
      </c>
      <c r="S318" s="64">
        <f>IFERROR(__xludf.DUMMYFUNCTION("""COMPUTED_VALUE"""),44695.0)</f>
        <v>44695</v>
      </c>
      <c r="T318" s="70">
        <f>IFERROR(__xludf.DUMMYFUNCTION("""COMPUTED_VALUE"""),0.4534246575342466)</f>
        <v>0.4534246575</v>
      </c>
      <c r="U318" s="71" t="str">
        <f>IFERROR(__xludf.DUMMYFUNCTION("""COMPUTED_VALUE"""),"https://www.sec.gov/cgi-bin/browse-edgar?CIK=1802749")</f>
        <v>https://www.sec.gov/cgi-bin/browse-edgar?CIK=1802749</v>
      </c>
      <c r="V318" s="72" t="str">
        <f>IFERROR(__xludf.DUMMYFUNCTION("""COMPUTED_VALUE"""),"E.V., Sustainability     Optionable     Serial Sponsor  ")</f>
        <v>E.V., Sustainability     Optionable     Serial Sponsor  </v>
      </c>
      <c r="W318" s="73">
        <f>IFERROR(__xludf.DUMMYFUNCTION("""COMPUTED_VALUE"""),44175.0)</f>
        <v>44175</v>
      </c>
      <c r="X318" s="79">
        <f>IFERROR(__xludf.DUMMYFUNCTION("""COMPUTED_VALUE"""),7.0)</f>
        <v>7</v>
      </c>
      <c r="Y318" s="80" t="str">
        <f>IFERROR(__xludf.DUMMYFUNCTION("""COMPUTED_VALUE"""),"https://www.businesswire.com/news/home/20201210006083/en/Urban-Commercial-Zero-Emission-Vehicle-Company-Lightning-eMotors-to-List-on-New-York-Stock-Exchange-Through-Merger-with-GigCapital3-Inc.")</f>
        <v>https://www.businesswire.com/news/home/20201210006083/en/Urban-Commercial-Zero-Emission-Vehicle-Company-Lightning-eMotors-to-List-on-New-York-Stock-Exchange-Through-Merger-with-GigCapital3-Inc.</v>
      </c>
      <c r="Z318" s="81" t="str">
        <f>IFERROR(__xludf.DUMMYFUNCTION("""COMPUTED_VALUE"""),"https://www.gigcapitalglobal.com/wp-content/uploads/Project-Power-Announcement-Deck_vF.pdf")</f>
        <v>https://www.gigcapitalglobal.com/wp-content/uploads/Project-Power-Announcement-Deck_vF.pdf</v>
      </c>
      <c r="AA318" s="60">
        <f>IFERROR(__xludf.DUMMYFUNCTION("""COMPUTED_VALUE"""),2.5E7)</f>
        <v>25000000</v>
      </c>
      <c r="AB318" s="60">
        <f>IFERROR(__xludf.DUMMYFUNCTION("""COMPUTED_VALUE"""),8.232E8)</f>
        <v>823200000</v>
      </c>
      <c r="AC318" s="60">
        <f>IFERROR(__xludf.DUMMYFUNCTION("""COMPUTED_VALUE"""),6.506E8)</f>
        <v>650600000</v>
      </c>
      <c r="AD318" s="73">
        <f>IFERROR(__xludf.DUMMYFUNCTION("""COMPUTED_VALUE"""),44307.0)</f>
        <v>44307</v>
      </c>
      <c r="AE318" s="73">
        <f>IFERROR(__xludf.DUMMYFUNCTION("""COMPUTED_VALUE"""),44305.0)</f>
        <v>44305</v>
      </c>
      <c r="AF318" s="76">
        <f>IFERROR(__xludf.DUMMYFUNCTION("""COMPUTED_VALUE"""),8.2315E7)</f>
        <v>82315000</v>
      </c>
      <c r="AG318" s="60">
        <f>IFERROR(__xludf.DUMMYFUNCTION("""COMPUTED_VALUE"""),8.338509500000001E8)</f>
        <v>833850950</v>
      </c>
    </row>
    <row r="319">
      <c r="A319" s="54" t="str">
        <f>IFERROR(__xludf.DUMMYFUNCTION("""COMPUTED_VALUE"""),"GIX")</f>
        <v>GIX</v>
      </c>
      <c r="B319" s="55" t="str">
        <f>IFERROR(__xludf.DUMMYFUNCTION("""COMPUTED_VALUE"""),"GigCapital2, Inc")</f>
        <v>GigCapital2, Inc</v>
      </c>
      <c r="C319" s="56" t="str">
        <f>IFERROR(__xludf.DUMMYFUNCTION("""COMPUTED_VALUE"""),"Definitive Agreement")</f>
        <v>Definitive Agreement</v>
      </c>
      <c r="D319" s="57" t="str">
        <f>IFERROR(__xludf.DUMMYFUNCTION("""COMPUTED_VALUE"""),"TMT (Tech, Media, Telecom)")</f>
        <v>TMT (Tech, Media, Telecom)</v>
      </c>
      <c r="E319" s="58" t="str">
        <f>IFERROR(__xludf.DUMMYFUNCTION("""COMPUTED_VALUE"""),"UpHealth and Cloudbreak Health [DA: 11/23/20]")</f>
        <v>UpHealth and Cloudbreak Health [DA: 11/23/20]</v>
      </c>
      <c r="F319" s="59" t="str">
        <f>IFERROR(__xludf.DUMMYFUNCTION("""COMPUTED_VALUE"""),"Avi Katz (Tech entrepreneur; Fmr CEO of Gig Optix and GigCapital I)")</f>
        <v>Avi Katz (Tech entrepreneur; Fmr CEO of Gig Optix and GigCapital I)</v>
      </c>
      <c r="G319" s="60">
        <f>IFERROR(__xludf.DUMMYFUNCTION("""COMPUTED_VALUE"""),1.68384949E8)</f>
        <v>168384949</v>
      </c>
      <c r="H319" s="60">
        <f>IFERROR(__xludf.DUMMYFUNCTION("""COMPUTED_VALUE"""),1.99311889E8)</f>
        <v>199311889</v>
      </c>
      <c r="I319" s="61">
        <f>IFERROR(__xludf.DUMMYFUNCTION("""COMPUTED_VALUE"""),10.06)</f>
        <v>10.06</v>
      </c>
      <c r="J319" s="62">
        <f>IFERROR(__xludf.DUMMYFUNCTION("""COMPUTED_VALUE"""),0.001)</f>
        <v>0.001</v>
      </c>
      <c r="K319" s="59">
        <f>IFERROR(__xludf.DUMMYFUNCTION("""COMPUTED_VALUE"""),10.7653)</f>
        <v>10.7653</v>
      </c>
      <c r="L319" s="63">
        <f>IFERROR(__xludf.DUMMYFUNCTION("""COMPUTED_VALUE"""),0.93)</f>
        <v>0.93</v>
      </c>
      <c r="M319" s="64" t="str">
        <f>IFERROR(__xludf.DUMMYFUNCTION("""COMPUTED_VALUE"""),"U: [1 W, 1 R (1/20)]; W: [1:1, $11.5]")</f>
        <v>U: [1 W, 1 R (1/20)]; W: [1:1, $11.5]</v>
      </c>
      <c r="N319" s="65" t="str">
        <f>IFERROR(__xludf.DUMMYFUNCTION("""COMPUTED_VALUE"""),"")</f>
        <v/>
      </c>
      <c r="O319" s="66">
        <f>IFERROR(__xludf.DUMMYFUNCTION("""COMPUTED_VALUE"""),0.0)</f>
        <v>0</v>
      </c>
      <c r="P319" s="67">
        <f>IFERROR(__xludf.DUMMYFUNCTION("""COMPUTED_VALUE"""),43622.0)</f>
        <v>43622</v>
      </c>
      <c r="Q319" s="68">
        <f>IFERROR(__xludf.DUMMYFUNCTION("""COMPUTED_VALUE"""),172.5)</f>
        <v>172.5</v>
      </c>
      <c r="R319" s="85" t="str">
        <f>IFERROR(__xludf.DUMMYFUNCTION("""COMPUTED_VALUE"""),"EarlyBirdCapital, Northland")</f>
        <v>EarlyBirdCapital, Northland</v>
      </c>
      <c r="S319" s="64">
        <f>IFERROR(__xludf.DUMMYFUNCTION("""COMPUTED_VALUE"""),44357.0)</f>
        <v>44357</v>
      </c>
      <c r="T319" s="70">
        <f>IFERROR(__xludf.DUMMYFUNCTION("""COMPUTED_VALUE"""),0.9170068027210885)</f>
        <v>0.9170068027</v>
      </c>
      <c r="U319" s="71" t="str">
        <f>IFERROR(__xludf.DUMMYFUNCTION("""COMPUTED_VALUE"""),"https://www.sec.gov/cgi-bin/browse-edgar?CIK=1770141")</f>
        <v>https://www.sec.gov/cgi-bin/browse-edgar?CIK=1770141</v>
      </c>
      <c r="V319" s="72" t="str">
        <f>IFERROR(__xludf.DUMMYFUNCTION("""COMPUTED_VALUE"""),"Healthcare     Optionable  Has Rights   Serial Sponsor  ")</f>
        <v>Healthcare     Optionable  Has Rights   Serial Sponsor  </v>
      </c>
      <c r="W319" s="73">
        <f>IFERROR(__xludf.DUMMYFUNCTION("""COMPUTED_VALUE"""),44158.0)</f>
        <v>44158</v>
      </c>
      <c r="X319" s="79">
        <f>IFERROR(__xludf.DUMMYFUNCTION("""COMPUTED_VALUE"""),17.866666666666667)</f>
        <v>17.86666667</v>
      </c>
      <c r="Y319" s="80" t="str">
        <f>IFERROR(__xludf.DUMMYFUNCTION("""COMPUTED_VALUE"""),"https://www.sec.gov/Archives/edgar/data/1770141/000119312520300620/d39021dex991.htm")</f>
        <v>https://www.sec.gov/Archives/edgar/data/1770141/000119312520300620/d39021dex991.htm</v>
      </c>
      <c r="Z319" s="81" t="str">
        <f>IFERROR(__xludf.DUMMYFUNCTION("""COMPUTED_VALUE"""),"https://www.sec.gov/Archives/edgar/data/1770141/000119312520300620/d39021dex992.htm")</f>
        <v>https://www.sec.gov/Archives/edgar/data/1770141/000119312520300620/d39021dex992.htm</v>
      </c>
      <c r="AA319" s="60">
        <f>IFERROR(__xludf.DUMMYFUNCTION("""COMPUTED_VALUE"""),1.25E8)</f>
        <v>125000000</v>
      </c>
      <c r="AB319" s="60">
        <f>IFERROR(__xludf.DUMMYFUNCTION("""COMPUTED_VALUE"""),1.4564E9)</f>
        <v>1456400000</v>
      </c>
      <c r="AC319" s="60">
        <f>IFERROR(__xludf.DUMMYFUNCTION("""COMPUTED_VALUE"""),1.3509E9)</f>
        <v>1350900000</v>
      </c>
      <c r="AD319" s="73"/>
      <c r="AE319" s="73"/>
      <c r="AF319" s="76">
        <f>IFERROR(__xludf.DUMMYFUNCTION("""COMPUTED_VALUE"""),1.4564E8)</f>
        <v>145640000</v>
      </c>
      <c r="AG319" s="60">
        <f>IFERROR(__xludf.DUMMYFUNCTION("""COMPUTED_VALUE"""),1.4651384E9)</f>
        <v>1465138400</v>
      </c>
    </row>
    <row r="320">
      <c r="A320" s="54" t="str">
        <f>IFERROR(__xludf.DUMMYFUNCTION("""COMPUTED_VALUE"""),"GLAQ")</f>
        <v>GLAQ</v>
      </c>
      <c r="B320" s="55" t="str">
        <f>IFERROR(__xludf.DUMMYFUNCTION("""COMPUTED_VALUE"""),"Globis Acquisition Corp.")</f>
        <v>Globis Acquisition Corp.</v>
      </c>
      <c r="C320" s="56" t="str">
        <f>IFERROR(__xludf.DUMMYFUNCTION("""COMPUTED_VALUE"""),"Searching")</f>
        <v>Searching</v>
      </c>
      <c r="D320" s="57"/>
      <c r="E320" s="58"/>
      <c r="F320" s="59" t="str">
        <f>IFERROR(__xludf.DUMMYFUNCTION("""COMPUTED_VALUE"""),"Paul Packer (Chairman of The United States Commission for the Preservation of America’s Heritage Abroad), John Horne (Deputy Asst. to Pres. Donald Trump)")</f>
        <v>Paul Packer (Chairman of The United States Commission for the Preservation of America’s Heritage Abroad), John Horne (Deputy Asst. to Pres. Donald Trump)</v>
      </c>
      <c r="G320" s="60">
        <f>IFERROR(__xludf.DUMMYFUNCTION("""COMPUTED_VALUE"""),1.1615E8)</f>
        <v>116150000</v>
      </c>
      <c r="H320" s="60">
        <f>IFERROR(__xludf.DUMMYFUNCTION("""COMPUTED_VALUE"""),1.50207313E8)</f>
        <v>150207313</v>
      </c>
      <c r="I320" s="61">
        <f>IFERROR(__xludf.DUMMYFUNCTION("""COMPUTED_VALUE"""),9.98)</f>
        <v>9.98</v>
      </c>
      <c r="J320" s="62"/>
      <c r="K320" s="59">
        <f>IFERROR(__xludf.DUMMYFUNCTION("""COMPUTED_VALUE"""),10.48)</f>
        <v>10.48</v>
      </c>
      <c r="L320" s="63">
        <f>IFERROR(__xludf.DUMMYFUNCTION("""COMPUTED_VALUE"""),0.6099)</f>
        <v>0.6099</v>
      </c>
      <c r="M320" s="64" t="str">
        <f>IFERROR(__xludf.DUMMYFUNCTION("""COMPUTED_VALUE"""),"U: [1 W]; W: [1:1, $11.5]")</f>
        <v>U: [1 W]; W: [1:1, $11.5]</v>
      </c>
      <c r="N320" s="65" t="str">
        <f>IFERROR(__xludf.DUMMYFUNCTION("""COMPUTED_VALUE"""),"")</f>
        <v/>
      </c>
      <c r="O320" s="66">
        <f>IFERROR(__xludf.DUMMYFUNCTION("""COMPUTED_VALUE"""),0.0)</f>
        <v>0</v>
      </c>
      <c r="P320" s="67">
        <f>IFERROR(__xludf.DUMMYFUNCTION("""COMPUTED_VALUE"""),44175.0)</f>
        <v>44175</v>
      </c>
      <c r="Q320" s="68">
        <f>IFERROR(__xludf.DUMMYFUNCTION("""COMPUTED_VALUE"""),116.15)</f>
        <v>116.15</v>
      </c>
      <c r="R320" s="69" t="str">
        <f>IFERROR(__xludf.DUMMYFUNCTION("""COMPUTED_VALUE"""),"Chardan")</f>
        <v>Chardan</v>
      </c>
      <c r="S320" s="64">
        <f>IFERROR(__xludf.DUMMYFUNCTION("""COMPUTED_VALUE"""),44540.0)</f>
        <v>44540</v>
      </c>
      <c r="T320" s="70">
        <f>IFERROR(__xludf.DUMMYFUNCTION("""COMPUTED_VALUE"""),0.3315068493150685)</f>
        <v>0.3315068493</v>
      </c>
      <c r="U320" s="71" t="str">
        <f>IFERROR(__xludf.DUMMYFUNCTION("""COMPUTED_VALUE"""),"https://www.sec.gov/cgi-bin/browse-edgar?CIK=1823383")</f>
        <v>https://www.sec.gov/cgi-bin/browse-edgar?CIK=1823383</v>
      </c>
      <c r="V320" s="72" t="str">
        <f>IFERROR(__xludf.DUMMYFUNCTION("""COMPUTED_VALUE""")," Trading Below $10 (Common)           ")</f>
        <v> Trading Below $10 (Common)           </v>
      </c>
      <c r="W320" s="73"/>
      <c r="X320" s="74"/>
      <c r="Y320" s="75"/>
      <c r="Z320" s="60"/>
      <c r="AA320" s="60"/>
      <c r="AB320" s="60"/>
      <c r="AC320" s="60"/>
      <c r="AD320" s="73"/>
      <c r="AE320" s="73"/>
      <c r="AF320" s="76"/>
      <c r="AG320" s="60" t="str">
        <f>IFERROR(__xludf.DUMMYFUNCTION("""COMPUTED_VALUE"""),"")</f>
        <v/>
      </c>
    </row>
    <row r="321">
      <c r="A321" s="54" t="str">
        <f>IFERROR(__xludf.DUMMYFUNCTION("""COMPUTED_VALUE"""),"GLBL")</f>
        <v>GLBL</v>
      </c>
      <c r="B321" s="55" t="str">
        <f>IFERROR(__xludf.DUMMYFUNCTION("""COMPUTED_VALUE"""),"Cartesian Growth Corp")</f>
        <v>Cartesian Growth Corp</v>
      </c>
      <c r="C321" s="56" t="str">
        <f>IFERROR(__xludf.DUMMYFUNCTION("""COMPUTED_VALUE"""),"Searching (Pre Unit Split)")</f>
        <v>Searching (Pre Unit Split)</v>
      </c>
      <c r="D321" s="57"/>
      <c r="E321" s="58"/>
      <c r="F321" s="59"/>
      <c r="G321" s="60">
        <f>IFERROR(__xludf.DUMMYFUNCTION("""COMPUTED_VALUE"""),3.45E8)</f>
        <v>345000000</v>
      </c>
      <c r="H321" s="60" t="str">
        <f>IFERROR(__xludf.DUMMYFUNCTION("""COMPUTED_VALUE""")," ")</f>
        <v> </v>
      </c>
      <c r="I321" s="61" t="str">
        <f>IFERROR(__xludf.DUMMYFUNCTION("""COMPUTED_VALUE""")," ")</f>
        <v> </v>
      </c>
      <c r="J321" s="62" t="str">
        <f>IFERROR(__xludf.DUMMYFUNCTION("""COMPUTED_VALUE""")," ")</f>
        <v> </v>
      </c>
      <c r="K321" s="59">
        <f>IFERROR(__xludf.DUMMYFUNCTION("""COMPUTED_VALUE"""),9.98)</f>
        <v>9.98</v>
      </c>
      <c r="L321" s="63" t="str">
        <f>IFERROR(__xludf.DUMMYFUNCTION("""COMPUTED_VALUE""")," ")</f>
        <v> </v>
      </c>
      <c r="M321" s="64" t="str">
        <f>IFERROR(__xludf.DUMMYFUNCTION("""COMPUTED_VALUE"""),"U: [1/3 W]; W: [1:1, $11.5]")</f>
        <v>U: [1/3 W]; W: [1:1, $11.5]</v>
      </c>
      <c r="N321" s="65">
        <f>IFERROR(__xludf.DUMMYFUNCTION("""COMPUTED_VALUE"""),44303.0)</f>
        <v>44303</v>
      </c>
      <c r="O321" s="66" t="str">
        <f>IFERROR(__xludf.DUMMYFUNCTION("""COMPUTED_VALUE"""),"")</f>
        <v/>
      </c>
      <c r="P321" s="67">
        <f>IFERROR(__xludf.DUMMYFUNCTION("""COMPUTED_VALUE"""),44251.0)</f>
        <v>44251</v>
      </c>
      <c r="Q321" s="68">
        <f>IFERROR(__xludf.DUMMYFUNCTION("""COMPUTED_VALUE"""),345.0)</f>
        <v>345</v>
      </c>
      <c r="R321" s="69" t="str">
        <f>IFERROR(__xludf.DUMMYFUNCTION("""COMPUTED_VALUE"""),"Cantor")</f>
        <v>Cantor</v>
      </c>
      <c r="S321" s="64">
        <f>IFERROR(__xludf.DUMMYFUNCTION("""COMPUTED_VALUE"""),44981.0)</f>
        <v>44981</v>
      </c>
      <c r="T321" s="70">
        <f>IFERROR(__xludf.DUMMYFUNCTION("""COMPUTED_VALUE"""),0.06164383561643835)</f>
        <v>0.06164383562</v>
      </c>
      <c r="U321" s="71" t="str">
        <f>IFERROR(__xludf.DUMMYFUNCTION("""COMPUTED_VALUE"""),"https://www.sec.gov/cgi-bin/browse-edgar?CIK=1838615")</f>
        <v>https://www.sec.gov/cgi-bin/browse-edgar?CIK=1838615</v>
      </c>
      <c r="V321" s="72" t="str">
        <f>IFERROR(__xludf.DUMMYFUNCTION("""COMPUTED_VALUE"""),"            ")</f>
        <v>            </v>
      </c>
      <c r="W321" s="73"/>
      <c r="X321" s="74"/>
      <c r="Y321" s="75"/>
      <c r="Z321" s="60"/>
      <c r="AA321" s="60"/>
      <c r="AB321" s="60"/>
      <c r="AC321" s="60"/>
      <c r="AD321" s="73"/>
      <c r="AE321" s="73"/>
      <c r="AF321" s="76"/>
      <c r="AG321" s="60"/>
    </row>
    <row r="322">
      <c r="A322" s="54" t="str">
        <f>IFERROR(__xludf.DUMMYFUNCTION("""COMPUTED_VALUE"""),"GLEE")</f>
        <v>GLEE</v>
      </c>
      <c r="B322" s="55" t="str">
        <f>IFERROR(__xludf.DUMMYFUNCTION("""COMPUTED_VALUE"""),"Gladstone Acquisition Corp")</f>
        <v>Gladstone Acquisition Corp</v>
      </c>
      <c r="C322" s="56" t="str">
        <f>IFERROR(__xludf.DUMMYFUNCTION("""COMPUTED_VALUE"""),"Pre IPO")</f>
        <v>Pre IPO</v>
      </c>
      <c r="D322" s="77" t="str">
        <f>IFERROR(__xludf.DUMMYFUNCTION("""COMPUTED_VALUE"""),"Farming, Agriculture")</f>
        <v>Farming, Agriculture</v>
      </c>
      <c r="E322" s="58"/>
      <c r="F322" s="59"/>
      <c r="G322" s="60">
        <f>IFERROR(__xludf.DUMMYFUNCTION("""COMPUTED_VALUE"""),1.0E8)</f>
        <v>100000000</v>
      </c>
      <c r="H322" s="60" t="str">
        <f>IFERROR(__xludf.DUMMYFUNCTION("""COMPUTED_VALUE""")," ")</f>
        <v> </v>
      </c>
      <c r="I322" s="61" t="str">
        <f>IFERROR(__xludf.DUMMYFUNCTION("""COMPUTED_VALUE""")," ")</f>
        <v> </v>
      </c>
      <c r="J322" s="62" t="str">
        <f>IFERROR(__xludf.DUMMYFUNCTION("""COMPUTED_VALUE""")," ")</f>
        <v> </v>
      </c>
      <c r="K322" s="59" t="str">
        <f>IFERROR(__xludf.DUMMYFUNCTION("""COMPUTED_VALUE""")," ")</f>
        <v> </v>
      </c>
      <c r="L322" s="63" t="str">
        <f>IFERROR(__xludf.DUMMYFUNCTION("""COMPUTED_VALUE""")," ")</f>
        <v> </v>
      </c>
      <c r="M322" s="64" t="str">
        <f>IFERROR(__xludf.DUMMYFUNCTION("""COMPUTED_VALUE"""),"U: [1/2 W]; W: [1:1, $11.5]")</f>
        <v>U: [1/2 W]; W: [1:1, $11.5]</v>
      </c>
      <c r="N322" s="65" t="str">
        <f>IFERROR(__xludf.DUMMYFUNCTION("""COMPUTED_VALUE"""),"")</f>
        <v/>
      </c>
      <c r="O322" s="66" t="str">
        <f>IFERROR(__xludf.DUMMYFUNCTION("""COMPUTED_VALUE"""),"")</f>
        <v/>
      </c>
      <c r="P322" s="67"/>
      <c r="Q322" s="68">
        <f>IFERROR(__xludf.DUMMYFUNCTION("""COMPUTED_VALUE"""),100.0)</f>
        <v>100</v>
      </c>
      <c r="R322" s="85" t="str">
        <f>IFERROR(__xludf.DUMMYFUNCTION("""COMPUTED_VALUE"""),"Kingswood Capital Markets")</f>
        <v>Kingswood Capital Markets</v>
      </c>
      <c r="S322" s="64">
        <f>IFERROR(__xludf.DUMMYFUNCTION("""COMPUTED_VALUE"""),45086.0)</f>
        <v>45086</v>
      </c>
      <c r="T322" s="70" t="str">
        <f>IFERROR(__xludf.DUMMYFUNCTION("""COMPUTED_VALUE"""),"")</f>
        <v/>
      </c>
      <c r="U322" s="71" t="str">
        <f>IFERROR(__xludf.DUMMYFUNCTION("""COMPUTED_VALUE"""),"https://www.sec.gov/cgi-bin/browse-edgar?CIK=1843248")</f>
        <v>https://www.sec.gov/cgi-bin/browse-edgar?CIK=1843248</v>
      </c>
      <c r="V322" s="72" t="str">
        <f>IFERROR(__xludf.DUMMYFUNCTION("""COMPUTED_VALUE"""),"            ")</f>
        <v>            </v>
      </c>
      <c r="W322" s="73"/>
      <c r="X322" s="74"/>
      <c r="Y322" s="75"/>
      <c r="Z322" s="60"/>
      <c r="AA322" s="60"/>
      <c r="AB322" s="60"/>
      <c r="AC322" s="60"/>
      <c r="AD322" s="73"/>
      <c r="AE322" s="73"/>
      <c r="AF322" s="76"/>
      <c r="AG322" s="60"/>
    </row>
    <row r="323">
      <c r="A323" s="54" t="str">
        <f>IFERROR(__xludf.DUMMYFUNCTION("""COMPUTED_VALUE"""),"GLEO")</f>
        <v>GLEO</v>
      </c>
      <c r="B323" s="55" t="str">
        <f>IFERROR(__xludf.DUMMYFUNCTION("""COMPUTED_VALUE"""),"Galileo Acquisition Corp")</f>
        <v>Galileo Acquisition Corp</v>
      </c>
      <c r="C323" s="56" t="str">
        <f>IFERROR(__xludf.DUMMYFUNCTION("""COMPUTED_VALUE"""),"Searching")</f>
        <v>Searching</v>
      </c>
      <c r="D323" s="57" t="str">
        <f>IFERROR(__xludf.DUMMYFUNCTION("""COMPUTED_VALUE"""),"Italy, Italian family-owned businesses")</f>
        <v>Italy, Italian family-owned businesses</v>
      </c>
      <c r="E323" s="58"/>
      <c r="F323" s="59"/>
      <c r="G323" s="60">
        <f>IFERROR(__xludf.DUMMYFUNCTION("""COMPUTED_VALUE"""),1.39129803E8)</f>
        <v>139129803</v>
      </c>
      <c r="H323" s="60">
        <f>IFERROR(__xludf.DUMMYFUNCTION("""COMPUTED_VALUE"""),1.7487E8)</f>
        <v>174870000</v>
      </c>
      <c r="I323" s="61">
        <f>IFERROR(__xludf.DUMMYFUNCTION("""COMPUTED_VALUE"""),10.05)</f>
        <v>10.05</v>
      </c>
      <c r="J323" s="62">
        <f>IFERROR(__xludf.DUMMYFUNCTION("""COMPUTED_VALUE"""),0.00299)</f>
        <v>0.00299</v>
      </c>
      <c r="K323" s="59" t="str">
        <f>IFERROR(__xludf.DUMMYFUNCTION("""COMPUTED_VALUE""")," ")</f>
        <v> </v>
      </c>
      <c r="L323" s="63">
        <f>IFERROR(__xludf.DUMMYFUNCTION("""COMPUTED_VALUE"""),0.5801)</f>
        <v>0.5801</v>
      </c>
      <c r="M323" s="64" t="str">
        <f>IFERROR(__xludf.DUMMYFUNCTION("""COMPUTED_VALUE"""),"U: [1 W]; W: [1:1, $11.5]")</f>
        <v>U: [1 W]; W: [1:1, $11.5]</v>
      </c>
      <c r="N323" s="65" t="str">
        <f>IFERROR(__xludf.DUMMYFUNCTION("""COMPUTED_VALUE"""),"")</f>
        <v/>
      </c>
      <c r="O323" s="66">
        <f>IFERROR(__xludf.DUMMYFUNCTION("""COMPUTED_VALUE"""),0.0)</f>
        <v>0</v>
      </c>
      <c r="P323" s="67">
        <f>IFERROR(__xludf.DUMMYFUNCTION("""COMPUTED_VALUE"""),43756.0)</f>
        <v>43756</v>
      </c>
      <c r="Q323" s="68">
        <f>IFERROR(__xludf.DUMMYFUNCTION("""COMPUTED_VALUE"""),138.0)</f>
        <v>138</v>
      </c>
      <c r="R323" s="69" t="str">
        <f>IFERROR(__xludf.DUMMYFUNCTION("""COMPUTED_VALUE"""),"EarlyBirdCapital, I-Bankers")</f>
        <v>EarlyBirdCapital, I-Bankers</v>
      </c>
      <c r="S323" s="64">
        <f>IFERROR(__xludf.DUMMYFUNCTION("""COMPUTED_VALUE"""),44394.75)</f>
        <v>44394.75</v>
      </c>
      <c r="T323" s="70">
        <f>IFERROR(__xludf.DUMMYFUNCTION("""COMPUTED_VALUE"""),0.8454011741682974)</f>
        <v>0.8454011742</v>
      </c>
      <c r="U323" s="71" t="str">
        <f>IFERROR(__xludf.DUMMYFUNCTION("""COMPUTED_VALUE"""),"https://www.sec.gov/cgi-bin/browse-edgar?CIK=1784851")</f>
        <v>https://www.sec.gov/cgi-bin/browse-edgar?CIK=1784851</v>
      </c>
      <c r="V323" s="72" t="str">
        <f>IFERROR(__xludf.DUMMYFUNCTION("""COMPUTED_VALUE"""),"            ")</f>
        <v>            </v>
      </c>
      <c r="W323" s="73"/>
      <c r="X323" s="74"/>
      <c r="Y323" s="75"/>
      <c r="Z323" s="60"/>
      <c r="AA323" s="60"/>
      <c r="AB323" s="60"/>
      <c r="AC323" s="60"/>
      <c r="AD323" s="73"/>
      <c r="AE323" s="73"/>
      <c r="AF323" s="76"/>
      <c r="AG323" s="60" t="str">
        <f>IFERROR(__xludf.DUMMYFUNCTION("""COMPUTED_VALUE"""),"")</f>
        <v/>
      </c>
    </row>
    <row r="324">
      <c r="A324" s="54" t="str">
        <f>IFERROR(__xludf.DUMMYFUNCTION("""COMPUTED_VALUE"""),"GLHA")</f>
        <v>GLHA</v>
      </c>
      <c r="B324" s="55" t="str">
        <f>IFERROR(__xludf.DUMMYFUNCTION("""COMPUTED_VALUE"""),"Glass Houses Acquisition Corp.")</f>
        <v>Glass Houses Acquisition Corp.</v>
      </c>
      <c r="C324" s="56" t="str">
        <f>IFERROR(__xludf.DUMMYFUNCTION("""COMPUTED_VALUE"""),"Searching (Pre Unit Split)")</f>
        <v>Searching (Pre Unit Split)</v>
      </c>
      <c r="D324" s="77" t="str">
        <f>IFERROR(__xludf.DUMMYFUNCTION("""COMPUTED_VALUE"""),"Natural resources (for energy transition), Electrification, Energy Transition, Sustainability")</f>
        <v>Natural resources (for energy transition), Electrification, Energy Transition, Sustainability</v>
      </c>
      <c r="E324" s="58"/>
      <c r="F324" s="59" t="str">
        <f>IFERROR(__xludf.DUMMYFUNCTION("""COMPUTED_VALUE"""),"Lee Styslinger III, Chairman and CEO of Altec Inc")</f>
        <v>Lee Styslinger III, Chairman and CEO of Altec Inc</v>
      </c>
      <c r="G324" s="60">
        <f>IFERROR(__xludf.DUMMYFUNCTION("""COMPUTED_VALUE"""),2.0E8)</f>
        <v>200000000</v>
      </c>
      <c r="H324" s="60" t="str">
        <f>IFERROR(__xludf.DUMMYFUNCTION("""COMPUTED_VALUE""")," ")</f>
        <v> </v>
      </c>
      <c r="I324" s="61" t="str">
        <f>IFERROR(__xludf.DUMMYFUNCTION("""COMPUTED_VALUE""")," ")</f>
        <v> </v>
      </c>
      <c r="J324" s="62" t="str">
        <f>IFERROR(__xludf.DUMMYFUNCTION("""COMPUTED_VALUE""")," ")</f>
        <v> </v>
      </c>
      <c r="K324" s="59">
        <f>IFERROR(__xludf.DUMMYFUNCTION("""COMPUTED_VALUE"""),10.05)</f>
        <v>10.05</v>
      </c>
      <c r="L324" s="63" t="str">
        <f>IFERROR(__xludf.DUMMYFUNCTION("""COMPUTED_VALUE""")," ")</f>
        <v> </v>
      </c>
      <c r="M324" s="64" t="str">
        <f>IFERROR(__xludf.DUMMYFUNCTION("""COMPUTED_VALUE"""),"U: [1/2 W]; W: [1:1, $11.5]")</f>
        <v>U: [1/2 W]; W: [1:1, $11.5]</v>
      </c>
      <c r="N324" s="65">
        <f>IFERROR(__xludf.DUMMYFUNCTION("""COMPUTED_VALUE"""),44329.0)</f>
        <v>44329</v>
      </c>
      <c r="O324" s="66" t="str">
        <f>IFERROR(__xludf.DUMMYFUNCTION("""COMPUTED_VALUE"""),"")</f>
        <v/>
      </c>
      <c r="P324" s="67">
        <f>IFERROR(__xludf.DUMMYFUNCTION("""COMPUTED_VALUE"""),44277.0)</f>
        <v>44277</v>
      </c>
      <c r="Q324" s="68">
        <f>IFERROR(__xludf.DUMMYFUNCTION("""COMPUTED_VALUE"""),200.0)</f>
        <v>200</v>
      </c>
      <c r="R324" s="85" t="str">
        <f>IFERROR(__xludf.DUMMYFUNCTION("""COMPUTED_VALUE"""),"Jefferies")</f>
        <v>Jefferies</v>
      </c>
      <c r="S324" s="64">
        <f>IFERROR(__xludf.DUMMYFUNCTION("""COMPUTED_VALUE"""),45007.0)</f>
        <v>45007</v>
      </c>
      <c r="T324" s="70">
        <f>IFERROR(__xludf.DUMMYFUNCTION("""COMPUTED_VALUE"""),0.026027397260273973)</f>
        <v>0.02602739726</v>
      </c>
      <c r="U324" s="71" t="str">
        <f>IFERROR(__xludf.DUMMYFUNCTION("""COMPUTED_VALUE"""),"https://www.sec.gov/cgi-bin/browse-edgar?CIK=1841734")</f>
        <v>https://www.sec.gov/cgi-bin/browse-edgar?CIK=1841734</v>
      </c>
      <c r="V324" s="72" t="str">
        <f>IFERROR(__xludf.DUMMYFUNCTION("""COMPUTED_VALUE"""),"            ")</f>
        <v>            </v>
      </c>
      <c r="W324" s="73"/>
      <c r="X324" s="74"/>
      <c r="Y324" s="75"/>
      <c r="Z324" s="60"/>
      <c r="AA324" s="60"/>
      <c r="AB324" s="60"/>
      <c r="AC324" s="60"/>
      <c r="AD324" s="73"/>
      <c r="AE324" s="73"/>
      <c r="AF324" s="76"/>
      <c r="AG324" s="60"/>
    </row>
    <row r="325">
      <c r="A325" s="54" t="str">
        <f>IFERROR(__xludf.DUMMYFUNCTION("""COMPUTED_VALUE"""),"GLSP")</f>
        <v>GLSP</v>
      </c>
      <c r="B325" s="55" t="str">
        <f>IFERROR(__xludf.DUMMYFUNCTION("""COMPUTED_VALUE"""),"Global SPAC Partners Co.")</f>
        <v>Global SPAC Partners Co.</v>
      </c>
      <c r="C325" s="56" t="str">
        <f>IFERROR(__xludf.DUMMYFUNCTION("""COMPUTED_VALUE"""),"Searching (Pre Unit Split)")</f>
        <v>Searching (Pre Unit Split)</v>
      </c>
      <c r="D325" s="77" t="str">
        <f>IFERROR(__xludf.DUMMYFUNCTION("""COMPUTED_VALUE"""),"MENA or South &amp; Southeast Asia")</f>
        <v>MENA or South &amp; Southeast Asia</v>
      </c>
      <c r="E325" s="58"/>
      <c r="F325" s="59"/>
      <c r="G325" s="60">
        <f>IFERROR(__xludf.DUMMYFUNCTION("""COMPUTED_VALUE"""),1.6E8)</f>
        <v>160000000</v>
      </c>
      <c r="H325" s="60" t="str">
        <f>IFERROR(__xludf.DUMMYFUNCTION("""COMPUTED_VALUE""")," ")</f>
        <v> </v>
      </c>
      <c r="I325" s="61" t="str">
        <f>IFERROR(__xludf.DUMMYFUNCTION("""COMPUTED_VALUE""")," ")</f>
        <v> </v>
      </c>
      <c r="J325" s="62" t="str">
        <f>IFERROR(__xludf.DUMMYFUNCTION("""COMPUTED_VALUE""")," ")</f>
        <v> </v>
      </c>
      <c r="K325" s="59">
        <f>IFERROR(__xludf.DUMMYFUNCTION("""COMPUTED_VALUE"""),9.94)</f>
        <v>9.94</v>
      </c>
      <c r="L325" s="63" t="str">
        <f>IFERROR(__xludf.DUMMYFUNCTION("""COMPUTED_VALUE""")," ")</f>
        <v> </v>
      </c>
      <c r="M325" s="64" t="str">
        <f>IFERROR(__xludf.DUMMYFUNCTION("""COMPUTED_VALUE"""),"U: [1 SU (1 C, 1/4 W), 1/2 W]; W: [1:1, $11.5]")</f>
        <v>U: [1 SU (1 C, 1/4 W), 1/2 W]; W: [1:1, $11.5]</v>
      </c>
      <c r="N325" s="65">
        <f>IFERROR(__xludf.DUMMYFUNCTION("""COMPUTED_VALUE"""),44346.0)</f>
        <v>44346</v>
      </c>
      <c r="O325" s="66" t="str">
        <f>IFERROR(__xludf.DUMMYFUNCTION("""COMPUTED_VALUE"""),"")</f>
        <v/>
      </c>
      <c r="P325" s="67">
        <f>IFERROR(__xludf.DUMMYFUNCTION("""COMPUTED_VALUE"""),44294.0)</f>
        <v>44294</v>
      </c>
      <c r="Q325" s="68">
        <f>IFERROR(__xludf.DUMMYFUNCTION("""COMPUTED_VALUE"""),160.0)</f>
        <v>160</v>
      </c>
      <c r="R325" s="85" t="str">
        <f>IFERROR(__xludf.DUMMYFUNCTION("""COMPUTED_VALUE"""),"I-Bankers")</f>
        <v>I-Bankers</v>
      </c>
      <c r="S325" s="64">
        <f>IFERROR(__xludf.DUMMYFUNCTION("""COMPUTED_VALUE"""),44932.75)</f>
        <v>44932.75</v>
      </c>
      <c r="T325" s="70">
        <f>IFERROR(__xludf.DUMMYFUNCTION("""COMPUTED_VALUE"""),0.0031311154598825833)</f>
        <v>0.00313111546</v>
      </c>
      <c r="U325" s="71" t="str">
        <f>IFERROR(__xludf.DUMMYFUNCTION("""COMPUTED_VALUE"""),"https://www.sec.gov/cgi-bin/browse-edgar?CIK=1821169")</f>
        <v>https://www.sec.gov/cgi-bin/browse-edgar?CIK=1821169</v>
      </c>
      <c r="V325" s="72" t="str">
        <f>IFERROR(__xludf.DUMMYFUNCTION("""COMPUTED_VALUE"""),"  Recent IPO          ")</f>
        <v>  Recent IPO          </v>
      </c>
      <c r="W325" s="73"/>
      <c r="X325" s="74"/>
      <c r="Y325" s="75"/>
      <c r="Z325" s="60"/>
      <c r="AA325" s="60"/>
      <c r="AB325" s="60"/>
      <c r="AC325" s="60"/>
      <c r="AD325" s="73"/>
      <c r="AE325" s="73"/>
      <c r="AF325" s="76"/>
      <c r="AG325" s="60" t="str">
        <f>IFERROR(__xludf.DUMMYFUNCTION("""COMPUTED_VALUE"""),"")</f>
        <v/>
      </c>
    </row>
    <row r="326">
      <c r="A326" s="54" t="str">
        <f>IFERROR(__xludf.DUMMYFUNCTION("""COMPUTED_VALUE"""),"GLTA")</f>
        <v>GLTA</v>
      </c>
      <c r="B326" s="55" t="str">
        <f>IFERROR(__xludf.DUMMYFUNCTION("""COMPUTED_VALUE"""),"Galata Acquisition Corp.")</f>
        <v>Galata Acquisition Corp.</v>
      </c>
      <c r="C326" s="56" t="str">
        <f>IFERROR(__xludf.DUMMYFUNCTION("""COMPUTED_VALUE"""),"Pre IPO")</f>
        <v>Pre IPO</v>
      </c>
      <c r="D326" s="77" t="str">
        <f>IFERROR(__xludf.DUMMYFUNCTION("""COMPUTED_VALUE"""),"Fintech, Tech-enabled financial services: insurance, reinsurance and insurance services, asset management, retail or investment banking, and merchant acquisition &amp; payment processing")</f>
        <v>Fintech, Tech-enabled financial services: insurance, reinsurance and insurance services, asset management, retail or investment banking, and merchant acquisition &amp; payment processing</v>
      </c>
      <c r="E326" s="58"/>
      <c r="F326" s="59"/>
      <c r="G326" s="60">
        <f>IFERROR(__xludf.DUMMYFUNCTION("""COMPUTED_VALUE"""),1.25E8)</f>
        <v>125000000</v>
      </c>
      <c r="H326" s="60" t="str">
        <f>IFERROR(__xludf.DUMMYFUNCTION("""COMPUTED_VALUE""")," ")</f>
        <v> </v>
      </c>
      <c r="I326" s="61" t="str">
        <f>IFERROR(__xludf.DUMMYFUNCTION("""COMPUTED_VALUE""")," ")</f>
        <v> </v>
      </c>
      <c r="J326" s="62" t="str">
        <f>IFERROR(__xludf.DUMMYFUNCTION("""COMPUTED_VALUE""")," ")</f>
        <v> </v>
      </c>
      <c r="K326" s="59" t="str">
        <f>IFERROR(__xludf.DUMMYFUNCTION("""COMPUTED_VALUE""")," ")</f>
        <v> </v>
      </c>
      <c r="L326" s="63" t="str">
        <f>IFERROR(__xludf.DUMMYFUNCTION("""COMPUTED_VALUE""")," ")</f>
        <v> </v>
      </c>
      <c r="M326" s="64" t="str">
        <f>IFERROR(__xludf.DUMMYFUNCTION("""COMPUTED_VALUE"""),"U: [1/3 W]; W: [1:1, $11.5]")</f>
        <v>U: [1/3 W]; W: [1:1, $11.5]</v>
      </c>
      <c r="N326" s="65" t="str">
        <f>IFERROR(__xludf.DUMMYFUNCTION("""COMPUTED_VALUE"""),"")</f>
        <v/>
      </c>
      <c r="O326" s="66">
        <f>IFERROR(__xludf.DUMMYFUNCTION("""COMPUTED_VALUE"""),0.0)</f>
        <v>0</v>
      </c>
      <c r="P326" s="67"/>
      <c r="Q326" s="68">
        <f>IFERROR(__xludf.DUMMYFUNCTION("""COMPUTED_VALUE"""),125.0)</f>
        <v>125</v>
      </c>
      <c r="R326" s="85" t="str">
        <f>IFERROR(__xludf.DUMMYFUNCTION("""COMPUTED_VALUE"""),"B. Riley Securities")</f>
        <v>B. Riley Securities</v>
      </c>
      <c r="S326" s="64">
        <f>IFERROR(__xludf.DUMMYFUNCTION("""COMPUTED_VALUE"""),45086.0)</f>
        <v>45086</v>
      </c>
      <c r="T326" s="70" t="str">
        <f>IFERROR(__xludf.DUMMYFUNCTION("""COMPUTED_VALUE"""),"")</f>
        <v/>
      </c>
      <c r="U326" s="71" t="str">
        <f>IFERROR(__xludf.DUMMYFUNCTION("""COMPUTED_VALUE"""),"https://www.sec.gov/cgi-bin/browse-edgar?CIK=1852767")</f>
        <v>https://www.sec.gov/cgi-bin/browse-edgar?CIK=1852767</v>
      </c>
      <c r="V326" s="72" t="str">
        <f>IFERROR(__xludf.DUMMYFUNCTION("""COMPUTED_VALUE"""),"            ")</f>
        <v>            </v>
      </c>
      <c r="W326" s="73"/>
      <c r="X326" s="74"/>
      <c r="Y326" s="75"/>
      <c r="Z326" s="60"/>
      <c r="AA326" s="60"/>
      <c r="AB326" s="60"/>
      <c r="AC326" s="60"/>
      <c r="AD326" s="73"/>
      <c r="AE326" s="73"/>
      <c r="AF326" s="76"/>
      <c r="AG326" s="60"/>
    </row>
    <row r="327">
      <c r="A327" s="54" t="str">
        <f>IFERROR(__xludf.DUMMYFUNCTION("""COMPUTED_VALUE"""),"GMBT")</f>
        <v>GMBT</v>
      </c>
      <c r="B327" s="55" t="str">
        <f>IFERROR(__xludf.DUMMYFUNCTION("""COMPUTED_VALUE"""),"Queen’s Gambit Growth Capital")</f>
        <v>Queen’s Gambit Growth Capital</v>
      </c>
      <c r="C327" s="56" t="str">
        <f>IFERROR(__xludf.DUMMYFUNCTION("""COMPUTED_VALUE"""),"Searching")</f>
        <v>Searching</v>
      </c>
      <c r="D327" s="57" t="str">
        <f>IFERROR(__xludf.DUMMYFUNCTION("""COMPUTED_VALUE"""),"Sustainability")</f>
        <v>Sustainability</v>
      </c>
      <c r="E327" s="58"/>
      <c r="F327" s="59" t="str">
        <f>IFERROR(__xludf.DUMMYFUNCTION("""COMPUTED_VALUE"""),"Victoria Grace (CEO, Colle Capital Partners), Anastasia Nyrkovskaya (CFO, Fortune Media), Lone Fonss Schroder (Director, IKEA Group and Volvo Car Group)")</f>
        <v>Victoria Grace (CEO, Colle Capital Partners), Anastasia Nyrkovskaya (CFO, Fortune Media), Lone Fonss Schroder (Director, IKEA Group and Volvo Car Group)</v>
      </c>
      <c r="G327" s="60">
        <f>IFERROR(__xludf.DUMMYFUNCTION("""COMPUTED_VALUE"""),3.45E8)</f>
        <v>345000000</v>
      </c>
      <c r="H327" s="60">
        <f>IFERROR(__xludf.DUMMYFUNCTION("""COMPUTED_VALUE"""),3.4017E8)</f>
        <v>340170000</v>
      </c>
      <c r="I327" s="61">
        <f>IFERROR(__xludf.DUMMYFUNCTION("""COMPUTED_VALUE"""),9.86)</f>
        <v>9.86</v>
      </c>
      <c r="J327" s="62">
        <f>IFERROR(__xludf.DUMMYFUNCTION("""COMPUTED_VALUE"""),0.00102)</f>
        <v>0.00102</v>
      </c>
      <c r="K327" s="59">
        <f>IFERROR(__xludf.DUMMYFUNCTION("""COMPUTED_VALUE"""),10.19)</f>
        <v>10.19</v>
      </c>
      <c r="L327" s="63">
        <f>IFERROR(__xludf.DUMMYFUNCTION("""COMPUTED_VALUE"""),1.12)</f>
        <v>1.12</v>
      </c>
      <c r="M327" s="64" t="str">
        <f>IFERROR(__xludf.DUMMYFUNCTION("""COMPUTED_VALUE"""),"U: [1/3 W]; W: [1:1, $11.5]")</f>
        <v>U: [1/3 W]; W: [1:1, $11.5]</v>
      </c>
      <c r="N327" s="65" t="str">
        <f>IFERROR(__xludf.DUMMYFUNCTION("""COMPUTED_VALUE"""),"")</f>
        <v/>
      </c>
      <c r="O327" s="66">
        <f>IFERROR(__xludf.DUMMYFUNCTION("""COMPUTED_VALUE"""),0.0)</f>
        <v>0</v>
      </c>
      <c r="P327" s="67">
        <f>IFERROR(__xludf.DUMMYFUNCTION("""COMPUTED_VALUE"""),44215.0)</f>
        <v>44215</v>
      </c>
      <c r="Q327" s="68">
        <f>IFERROR(__xludf.DUMMYFUNCTION("""COMPUTED_VALUE"""),345.0)</f>
        <v>345</v>
      </c>
      <c r="R327" s="85" t="str">
        <f>IFERROR(__xludf.DUMMYFUNCTION("""COMPUTED_VALUE"""),"Barclays")</f>
        <v>Barclays</v>
      </c>
      <c r="S327" s="64">
        <f>IFERROR(__xludf.DUMMYFUNCTION("""COMPUTED_VALUE"""),44945.0)</f>
        <v>44945</v>
      </c>
      <c r="T327" s="70">
        <f>IFERROR(__xludf.DUMMYFUNCTION("""COMPUTED_VALUE"""),0.11095890410958904)</f>
        <v>0.1109589041</v>
      </c>
      <c r="U327" s="71" t="str">
        <f>IFERROR(__xludf.DUMMYFUNCTION("""COMPUTED_VALUE"""),"https://www.sec.gov/cgi-bin/browse-edgar?CIK=1836190")</f>
        <v>https://www.sec.gov/cgi-bin/browse-edgar?CIK=1836190</v>
      </c>
      <c r="V327" s="72" t="str">
        <f>IFERROR(__xludf.DUMMYFUNCTION("""COMPUTED_VALUE""")," Trading Below $10 (Common)           ")</f>
        <v> Trading Below $10 (Common)           </v>
      </c>
      <c r="W327" s="73"/>
      <c r="X327" s="74"/>
      <c r="Y327" s="75"/>
      <c r="Z327" s="60"/>
      <c r="AA327" s="60"/>
      <c r="AB327" s="60"/>
      <c r="AC327" s="60"/>
      <c r="AD327" s="73"/>
      <c r="AE327" s="73"/>
      <c r="AF327" s="76"/>
      <c r="AG327" s="60" t="str">
        <f>IFERROR(__xludf.DUMMYFUNCTION("""COMPUTED_VALUE"""),"")</f>
        <v/>
      </c>
    </row>
    <row r="328">
      <c r="A328" s="54" t="str">
        <f>IFERROR(__xludf.DUMMYFUNCTION("""COMPUTED_VALUE"""),"GMII")</f>
        <v>GMII</v>
      </c>
      <c r="B328" s="55" t="str">
        <f>IFERROR(__xludf.DUMMYFUNCTION("""COMPUTED_VALUE"""),"Gores Metropoulos II, Inc.")</f>
        <v>Gores Metropoulos II, Inc.</v>
      </c>
      <c r="C328" s="56" t="str">
        <f>IFERROR(__xludf.DUMMYFUNCTION("""COMPUTED_VALUE"""),"Searching")</f>
        <v>Searching</v>
      </c>
      <c r="D328" s="77" t="str">
        <f>IFERROR(__xludf.DUMMYFUNCTION("""COMPUTED_VALUE"""),"Consumer Products and Services")</f>
        <v>Consumer Products and Services</v>
      </c>
      <c r="E328" s="58"/>
      <c r="F328" s="59" t="str">
        <f>IFERROR(__xludf.DUMMYFUNCTION("""COMPUTED_VALUE"""),"Dean Metropoulos (Exec Chairman, Hostess; Fmr Director, Pabst Brewing Co), Alec Gores (Founder of The Gores Group)")</f>
        <v>Dean Metropoulos (Exec Chairman, Hostess; Fmr Director, Pabst Brewing Co), Alec Gores (Founder of The Gores Group)</v>
      </c>
      <c r="G328" s="60">
        <f>IFERROR(__xludf.DUMMYFUNCTION("""COMPUTED_VALUE"""),4.5E8)</f>
        <v>450000000</v>
      </c>
      <c r="H328" s="60">
        <f>IFERROR(__xludf.DUMMYFUNCTION("""COMPUTED_VALUE"""),4.016E8)</f>
        <v>401600000</v>
      </c>
      <c r="I328" s="61">
        <f>IFERROR(__xludf.DUMMYFUNCTION("""COMPUTED_VALUE"""),10.04)</f>
        <v>10.04</v>
      </c>
      <c r="J328" s="62">
        <f>IFERROR(__xludf.DUMMYFUNCTION("""COMPUTED_VALUE"""),-0.00986)</f>
        <v>-0.00986</v>
      </c>
      <c r="K328" s="59">
        <f>IFERROR(__xludf.DUMMYFUNCTION("""COMPUTED_VALUE"""),10.36)</f>
        <v>10.36</v>
      </c>
      <c r="L328" s="63">
        <f>IFERROR(__xludf.DUMMYFUNCTION("""COMPUTED_VALUE"""),2.06)</f>
        <v>2.06</v>
      </c>
      <c r="M328" s="64" t="str">
        <f>IFERROR(__xludf.DUMMYFUNCTION("""COMPUTED_VALUE"""),"U: [1/5 W]; W: [1:1, $11.5]")</f>
        <v>U: [1/5 W]; W: [1:1, $11.5]</v>
      </c>
      <c r="N328" s="65" t="str">
        <f>IFERROR(__xludf.DUMMYFUNCTION("""COMPUTED_VALUE"""),"")</f>
        <v/>
      </c>
      <c r="O328" s="66">
        <f>IFERROR(__xludf.DUMMYFUNCTION("""COMPUTED_VALUE"""),0.0)</f>
        <v>0</v>
      </c>
      <c r="P328" s="67">
        <f>IFERROR(__xludf.DUMMYFUNCTION("""COMPUTED_VALUE"""),44215.0)</f>
        <v>44215</v>
      </c>
      <c r="Q328" s="68">
        <f>IFERROR(__xludf.DUMMYFUNCTION("""COMPUTED_VALUE"""),450.0)</f>
        <v>450</v>
      </c>
      <c r="R328" s="85" t="str">
        <f>IFERROR(__xludf.DUMMYFUNCTION("""COMPUTED_VALUE"""),"Deutsche Bank, Citigroup")</f>
        <v>Deutsche Bank, Citigroup</v>
      </c>
      <c r="S328" s="64">
        <f>IFERROR(__xludf.DUMMYFUNCTION("""COMPUTED_VALUE"""),44945.0)</f>
        <v>44945</v>
      </c>
      <c r="T328" s="70">
        <f>IFERROR(__xludf.DUMMYFUNCTION("""COMPUTED_VALUE"""),0.11095890410958904)</f>
        <v>0.1109589041</v>
      </c>
      <c r="U328" s="71" t="str">
        <f>IFERROR(__xludf.DUMMYFUNCTION("""COMPUTED_VALUE"""),"https://www.sec.gov/cgi-bin/browse-edgar?CIK=1819395")</f>
        <v>https://www.sec.gov/cgi-bin/browse-edgar?CIK=1819395</v>
      </c>
      <c r="V328" s="72" t="str">
        <f>IFERROR(__xludf.DUMMYFUNCTION("""COMPUTED_VALUE"""),"          Serial Sponsor Top Tier UW ")</f>
        <v>          Serial Sponsor Top Tier UW </v>
      </c>
      <c r="W328" s="73"/>
      <c r="X328" s="74"/>
      <c r="Y328" s="75"/>
      <c r="Z328" s="60"/>
      <c r="AA328" s="60"/>
      <c r="AB328" s="60"/>
      <c r="AC328" s="60"/>
      <c r="AD328" s="73"/>
      <c r="AE328" s="73"/>
      <c r="AF328" s="76"/>
      <c r="AG328" s="60" t="str">
        <f>IFERROR(__xludf.DUMMYFUNCTION("""COMPUTED_VALUE"""),"")</f>
        <v/>
      </c>
    </row>
    <row r="329">
      <c r="A329" s="54" t="str">
        <f>IFERROR(__xludf.DUMMYFUNCTION("""COMPUTED_VALUE"""),"GNAC")</f>
        <v>GNAC</v>
      </c>
      <c r="B329" s="55" t="str">
        <f>IFERROR(__xludf.DUMMYFUNCTION("""COMPUTED_VALUE"""),"Group Nine Acquisition Corp.")</f>
        <v>Group Nine Acquisition Corp.</v>
      </c>
      <c r="C329" s="56" t="str">
        <f>IFERROR(__xludf.DUMMYFUNCTION("""COMPUTED_VALUE"""),"Searching")</f>
        <v>Searching</v>
      </c>
      <c r="D329" s="57" t="str">
        <f>IFERROR(__xludf.DUMMYFUNCTION("""COMPUTED_VALUE"""),"Group Nine Media with: Digital media, social media, e-commerce, events. digital publishing, marketing")</f>
        <v>Group Nine Media with: Digital media, social media, e-commerce, events. digital publishing, marketing</v>
      </c>
      <c r="E329" s="58"/>
      <c r="F329" s="59" t="str">
        <f>IFERROR(__xludf.DUMMYFUNCTION("""COMPUTED_VALUE"""),"Ben Lerer (CEO, Group Nine Media: Thrillist, POPSUGAR, The Dodo, NowThis)")</f>
        <v>Ben Lerer (CEO, Group Nine Media: Thrillist, POPSUGAR, The Dodo, NowThis)</v>
      </c>
      <c r="G329" s="60">
        <f>IFERROR(__xludf.DUMMYFUNCTION("""COMPUTED_VALUE"""),2.3E8)</f>
        <v>230000000</v>
      </c>
      <c r="H329" s="60">
        <f>IFERROR(__xludf.DUMMYFUNCTION("""COMPUTED_VALUE"""),2.3E8)</f>
        <v>230000000</v>
      </c>
      <c r="I329" s="61">
        <f>IFERROR(__xludf.DUMMYFUNCTION("""COMPUTED_VALUE"""),10.0)</f>
        <v>10</v>
      </c>
      <c r="J329" s="62">
        <f>IFERROR(__xludf.DUMMYFUNCTION("""COMPUTED_VALUE"""),-0.01478)</f>
        <v>-0.01478</v>
      </c>
      <c r="K329" s="59">
        <f>IFERROR(__xludf.DUMMYFUNCTION("""COMPUTED_VALUE"""),10.19)</f>
        <v>10.19</v>
      </c>
      <c r="L329" s="63">
        <f>IFERROR(__xludf.DUMMYFUNCTION("""COMPUTED_VALUE"""),0.76)</f>
        <v>0.76</v>
      </c>
      <c r="M329" s="64" t="str">
        <f>IFERROR(__xludf.DUMMYFUNCTION("""COMPUTED_VALUE"""),"U: [1/3 W]; W: [1:1, $11.5]")</f>
        <v>U: [1/3 W]; W: [1:1, $11.5]</v>
      </c>
      <c r="N329" s="65" t="str">
        <f>IFERROR(__xludf.DUMMYFUNCTION("""COMPUTED_VALUE"""),"")</f>
        <v/>
      </c>
      <c r="O329" s="66">
        <f>IFERROR(__xludf.DUMMYFUNCTION("""COMPUTED_VALUE"""),0.0)</f>
        <v>0</v>
      </c>
      <c r="P329" s="67">
        <f>IFERROR(__xludf.DUMMYFUNCTION("""COMPUTED_VALUE"""),44211.0)</f>
        <v>44211</v>
      </c>
      <c r="Q329" s="68">
        <f>IFERROR(__xludf.DUMMYFUNCTION("""COMPUTED_VALUE"""),230.0)</f>
        <v>230</v>
      </c>
      <c r="R329" s="85" t="str">
        <f>IFERROR(__xludf.DUMMYFUNCTION("""COMPUTED_VALUE"""),"Barclays, CODE Advisors")</f>
        <v>Barclays, CODE Advisors</v>
      </c>
      <c r="S329" s="64">
        <f>IFERROR(__xludf.DUMMYFUNCTION("""COMPUTED_VALUE"""),44941.0)</f>
        <v>44941</v>
      </c>
      <c r="T329" s="70">
        <f>IFERROR(__xludf.DUMMYFUNCTION("""COMPUTED_VALUE"""),0.11643835616438356)</f>
        <v>0.1164383562</v>
      </c>
      <c r="U329" s="71" t="str">
        <f>IFERROR(__xludf.DUMMYFUNCTION("""COMPUTED_VALUE"""),"https://www.sec.gov/cgi-bin/browse-edgar?CIK=1832250")</f>
        <v>https://www.sec.gov/cgi-bin/browse-edgar?CIK=1832250</v>
      </c>
      <c r="V329" s="72" t="str">
        <f>IFERROR(__xludf.DUMMYFUNCTION("""COMPUTED_VALUE""")," Trading Below $10 (Common)        Well-known Sponsor   ")</f>
        <v> Trading Below $10 (Common)        Well-known Sponsor   </v>
      </c>
      <c r="W329" s="73"/>
      <c r="X329" s="74"/>
      <c r="Y329" s="75"/>
      <c r="Z329" s="60"/>
      <c r="AA329" s="60"/>
      <c r="AB329" s="60"/>
      <c r="AC329" s="60"/>
      <c r="AD329" s="73"/>
      <c r="AE329" s="73"/>
      <c r="AF329" s="76"/>
      <c r="AG329" s="60" t="str">
        <f>IFERROR(__xludf.DUMMYFUNCTION("""COMPUTED_VALUE"""),"")</f>
        <v/>
      </c>
    </row>
    <row r="330">
      <c r="A330" s="54" t="str">
        <f>IFERROR(__xludf.DUMMYFUNCTION("""COMPUTED_VALUE"""),"GNPK")</f>
        <v>GNPK</v>
      </c>
      <c r="B330" s="55" t="str">
        <f>IFERROR(__xludf.DUMMYFUNCTION("""COMPUTED_VALUE"""),"Genesis Park Acquisition Corp.")</f>
        <v>Genesis Park Acquisition Corp.</v>
      </c>
      <c r="C330" s="56" t="str">
        <f>IFERROR(__xludf.DUMMYFUNCTION("""COMPUTED_VALUE"""),"Definitive Agreement")</f>
        <v>Definitive Agreement</v>
      </c>
      <c r="D330" s="77" t="str">
        <f>IFERROR(__xludf.DUMMYFUNCTION("""COMPUTED_VALUE"""),"Aviation and aviation services")</f>
        <v>Aviation and aviation services</v>
      </c>
      <c r="E330" s="58" t="str">
        <f>IFERROR(__xludf.DUMMYFUNCTION("""COMPUTED_VALUE"""),"Redwire [DA: 03/25/21]")</f>
        <v>Redwire [DA: 03/25/21]</v>
      </c>
      <c r="F330" s="59" t="str">
        <f>IFERROR(__xludf.DUMMYFUNCTION("""COMPUTED_VALUE"""),"Richard Anderson (Fmr CEO, Delta; Fmr CEO, Amtrak), David Siegel (Exec Chairman, Sun Country Airlines; Fmr CEO, Frontier Airlines), Jonathan Baliff (CEO, Bristow)")</f>
        <v>Richard Anderson (Fmr CEO, Delta; Fmr CEO, Amtrak), David Siegel (Exec Chairman, Sun Country Airlines; Fmr CEO, Frontier Airlines), Jonathan Baliff (CEO, Bristow)</v>
      </c>
      <c r="G330" s="60">
        <f>IFERROR(__xludf.DUMMYFUNCTION("""COMPUTED_VALUE"""),1.66243614E8)</f>
        <v>166243614</v>
      </c>
      <c r="H330" s="60">
        <f>IFERROR(__xludf.DUMMYFUNCTION("""COMPUTED_VALUE"""),1.73111465E8)</f>
        <v>173111465</v>
      </c>
      <c r="I330" s="61">
        <f>IFERROR(__xludf.DUMMYFUNCTION("""COMPUTED_VALUE"""),10.57)</f>
        <v>10.57</v>
      </c>
      <c r="J330" s="62">
        <f>IFERROR(__xludf.DUMMYFUNCTION("""COMPUTED_VALUE"""),-0.00658)</f>
        <v>-0.00658</v>
      </c>
      <c r="K330" s="59">
        <f>IFERROR(__xludf.DUMMYFUNCTION("""COMPUTED_VALUE"""),12.0)</f>
        <v>12</v>
      </c>
      <c r="L330" s="63">
        <f>IFERROR(__xludf.DUMMYFUNCTION("""COMPUTED_VALUE"""),2.52)</f>
        <v>2.52</v>
      </c>
      <c r="M330" s="64" t="str">
        <f>IFERROR(__xludf.DUMMYFUNCTION("""COMPUTED_VALUE"""),"U: [1/2 W]; W: [1:1, $11.5]")</f>
        <v>U: [1/2 W]; W: [1:1, $11.5]</v>
      </c>
      <c r="N330" s="65" t="str">
        <f>IFERROR(__xludf.DUMMYFUNCTION("""COMPUTED_VALUE"""),"")</f>
        <v/>
      </c>
      <c r="O330" s="66">
        <f>IFERROR(__xludf.DUMMYFUNCTION("""COMPUTED_VALUE"""),0.0)</f>
        <v>0</v>
      </c>
      <c r="P330" s="67">
        <f>IFERROR(__xludf.DUMMYFUNCTION("""COMPUTED_VALUE"""),44158.0)</f>
        <v>44158</v>
      </c>
      <c r="Q330" s="68">
        <f>IFERROR(__xludf.DUMMYFUNCTION("""COMPUTED_VALUE"""),166.232863)</f>
        <v>166.232863</v>
      </c>
      <c r="R330" s="85" t="str">
        <f>IFERROR(__xludf.DUMMYFUNCTION("""COMPUTED_VALUE"""),"Jefferies")</f>
        <v>Jefferies</v>
      </c>
      <c r="S330" s="64">
        <f>IFERROR(__xludf.DUMMYFUNCTION("""COMPUTED_VALUE"""),44888.0)</f>
        <v>44888</v>
      </c>
      <c r="T330" s="70">
        <f>IFERROR(__xludf.DUMMYFUNCTION("""COMPUTED_VALUE"""),0.18904109589041096)</f>
        <v>0.1890410959</v>
      </c>
      <c r="U330" s="71" t="str">
        <f>IFERROR(__xludf.DUMMYFUNCTION("""COMPUTED_VALUE"""),"https://www.sec.gov/cgi-bin/browse-edgar?CIK=1819810")</f>
        <v>https://www.sec.gov/cgi-bin/browse-edgar?CIK=1819810</v>
      </c>
      <c r="V330" s="72" t="str">
        <f>IFERROR(__xludf.DUMMYFUNCTION("""COMPUTED_VALUE"""),"Aerospace         Well-known Sponsor   ")</f>
        <v>Aerospace         Well-known Sponsor   </v>
      </c>
      <c r="W330" s="73">
        <f>IFERROR(__xludf.DUMMYFUNCTION("""COMPUTED_VALUE"""),44280.0)</f>
        <v>44280</v>
      </c>
      <c r="X330" s="79">
        <f>IFERROR(__xludf.DUMMYFUNCTION("""COMPUTED_VALUE"""),4.066666666666666)</f>
        <v>4.066666667</v>
      </c>
      <c r="Y330" s="80" t="str">
        <f>IFERROR(__xludf.DUMMYFUNCTION("""COMPUTED_VALUE"""),"https://www.prnewswire.com/news-releases/redwire-an-innovative-space-infrastructure-company-serving-the-fast-growing-space-industry-to-become-publicly-traded-through-merger-with-genesis-park-acquisition-corp-301255761.html")</f>
        <v>https://www.prnewswire.com/news-releases/redwire-an-innovative-space-infrastructure-company-serving-the-fast-growing-space-industry-to-become-publicly-traded-through-merger-with-genesis-park-acquisition-corp-301255761.html</v>
      </c>
      <c r="Z330" s="81" t="str">
        <f>IFERROR(__xludf.DUMMYFUNCTION("""COMPUTED_VALUE"""),"https://www.sec.gov/Archives/edgar/data/1819810/000119312521093279/d76989dex992.htm")</f>
        <v>https://www.sec.gov/Archives/edgar/data/1819810/000119312521093279/d76989dex992.htm</v>
      </c>
      <c r="AA330" s="60">
        <f>IFERROR(__xludf.DUMMYFUNCTION("""COMPUTED_VALUE"""),7.5E7)</f>
        <v>75000000</v>
      </c>
      <c r="AB330" s="60">
        <f>IFERROR(__xludf.DUMMYFUNCTION("""COMPUTED_VALUE"""),6.52E8)</f>
        <v>652000000</v>
      </c>
      <c r="AC330" s="60">
        <f>IFERROR(__xludf.DUMMYFUNCTION("""COMPUTED_VALUE"""),6.15E8)</f>
        <v>615000000</v>
      </c>
      <c r="AD330" s="73"/>
      <c r="AE330" s="73"/>
      <c r="AF330" s="76">
        <f>IFERROR(__xludf.DUMMYFUNCTION("""COMPUTED_VALUE"""),6.52E7)</f>
        <v>65200000</v>
      </c>
      <c r="AG330" s="60">
        <f>IFERROR(__xludf.DUMMYFUNCTION("""COMPUTED_VALUE"""),6.89164E8)</f>
        <v>689164000</v>
      </c>
    </row>
    <row r="331">
      <c r="A331" s="54" t="str">
        <f>IFERROR(__xludf.DUMMYFUNCTION("""COMPUTED_VALUE"""),"GNRS")</f>
        <v>GNRS</v>
      </c>
      <c r="B331" s="55" t="str">
        <f>IFERROR(__xludf.DUMMYFUNCTION("""COMPUTED_VALUE"""),"Greenrose Acquisition Corp")</f>
        <v>Greenrose Acquisition Corp</v>
      </c>
      <c r="C331" s="56" t="str">
        <f>IFERROR(__xludf.DUMMYFUNCTION("""COMPUTED_VALUE"""),"Definitive Agreement")</f>
        <v>Definitive Agreement</v>
      </c>
      <c r="D331" s="57" t="str">
        <f>IFERROR(__xludf.DUMMYFUNCTION("""COMPUTED_VALUE"""),"Cannabis")</f>
        <v>Cannabis</v>
      </c>
      <c r="E331" s="58" t="str">
        <f>IFERROR(__xludf.DUMMYFUNCTION("""COMPUTED_VALUE"""),"Shango Holdings, Futureworks, Theraplant, and True Harvest [DA: 03/15/21]")</f>
        <v>Shango Holdings, Futureworks, Theraplant, and True Harvest [DA: 03/15/21]</v>
      </c>
      <c r="F331" s="59"/>
      <c r="G331" s="60">
        <f>IFERROR(__xludf.DUMMYFUNCTION("""COMPUTED_VALUE"""),1.73652225E8)</f>
        <v>173652225</v>
      </c>
      <c r="H331" s="60">
        <f>IFERROR(__xludf.DUMMYFUNCTION("""COMPUTED_VALUE"""),2.1848715E8)</f>
        <v>218487150</v>
      </c>
      <c r="I331" s="61">
        <f>IFERROR(__xludf.DUMMYFUNCTION("""COMPUTED_VALUE"""),9.98)</f>
        <v>9.98</v>
      </c>
      <c r="J331" s="62">
        <f>IFERROR(__xludf.DUMMYFUNCTION("""COMPUTED_VALUE"""),-0.001)</f>
        <v>-0.001</v>
      </c>
      <c r="K331" s="59">
        <f>IFERROR(__xludf.DUMMYFUNCTION("""COMPUTED_VALUE"""),10.8)</f>
        <v>10.8</v>
      </c>
      <c r="L331" s="63">
        <f>IFERROR(__xludf.DUMMYFUNCTION("""COMPUTED_VALUE"""),0.855)</f>
        <v>0.855</v>
      </c>
      <c r="M331" s="64" t="str">
        <f>IFERROR(__xludf.DUMMYFUNCTION("""COMPUTED_VALUE"""),"U: [1 W]; W: [1:1, $11.5]")</f>
        <v>U: [1 W]; W: [1:1, $11.5]</v>
      </c>
      <c r="N331" s="65" t="str">
        <f>IFERROR(__xludf.DUMMYFUNCTION("""COMPUTED_VALUE"""),"")</f>
        <v/>
      </c>
      <c r="O331" s="66">
        <f>IFERROR(__xludf.DUMMYFUNCTION("""COMPUTED_VALUE"""),0.0)</f>
        <v>0</v>
      </c>
      <c r="P331" s="67">
        <f>IFERROR(__xludf.DUMMYFUNCTION("""COMPUTED_VALUE"""),43872.0)</f>
        <v>43872</v>
      </c>
      <c r="Q331" s="68">
        <f>IFERROR(__xludf.DUMMYFUNCTION("""COMPUTED_VALUE"""),172.5)</f>
        <v>172.5</v>
      </c>
      <c r="R331" s="85" t="str">
        <f>IFERROR(__xludf.DUMMYFUNCTION("""COMPUTED_VALUE"""),"Imperial Capital, I-Bankers")</f>
        <v>Imperial Capital, I-Bankers</v>
      </c>
      <c r="S331" s="64">
        <f>IFERROR(__xludf.DUMMYFUNCTION("""COMPUTED_VALUE"""),44419.5)</f>
        <v>44419.5</v>
      </c>
      <c r="T331" s="70">
        <f>IFERROR(__xludf.DUMMYFUNCTION("""COMPUTED_VALUE"""),0.7744292237442922)</f>
        <v>0.7744292237</v>
      </c>
      <c r="U331" s="71" t="str">
        <f>IFERROR(__xludf.DUMMYFUNCTION("""COMPUTED_VALUE"""),"https://www.sec.gov/cgi-bin/browse-edgar?CIK=1790665")</f>
        <v>https://www.sec.gov/cgi-bin/browse-edgar?CIK=1790665</v>
      </c>
      <c r="V331" s="72" t="str">
        <f>IFERROR(__xludf.DUMMYFUNCTION("""COMPUTED_VALUE""")," Trading Below $10 (Common)    Optionable       ")</f>
        <v> Trading Below $10 (Common)    Optionable       </v>
      </c>
      <c r="W331" s="73">
        <f>IFERROR(__xludf.DUMMYFUNCTION("""COMPUTED_VALUE"""),44270.0)</f>
        <v>44270</v>
      </c>
      <c r="X331" s="79">
        <f>IFERROR(__xludf.DUMMYFUNCTION("""COMPUTED_VALUE"""),13.266666666666667)</f>
        <v>13.26666667</v>
      </c>
      <c r="Y331" s="80" t="str">
        <f>IFERROR(__xludf.DUMMYFUNCTION("""COMPUTED_VALUE"""),"https://www.globenewswire.com/news-release/2021/03/15/2192649/0/en/Greenrose-Acquisition-Corp-to-Acquire-Four-Cannabis-Companies-Creating-a-Vertically-Integrated-and-Cash-Flow-Positive-Platform-Positioned-for-Significant-Growth.html")</f>
        <v>https://www.globenewswire.com/news-release/2021/03/15/2192649/0/en/Greenrose-Acquisition-Corp-to-Acquire-Four-Cannabis-Companies-Creating-a-Vertically-Integrated-and-Cash-Flow-Positive-Platform-Positioned-for-Significant-Growth.html</v>
      </c>
      <c r="Z331" s="81" t="str">
        <f>IFERROR(__xludf.DUMMYFUNCTION("""COMPUTED_VALUE"""),"https://www.sec.gov/Archives/edgar/data/1790665/000121390021016370/ea137829ex99-3_greenroseacq.htm")</f>
        <v>https://www.sec.gov/Archives/edgar/data/1790665/000121390021016370/ea137829ex99-3_greenroseacq.htm</v>
      </c>
      <c r="AA331" s="60">
        <f>IFERROR(__xludf.DUMMYFUNCTION("""COMPUTED_VALUE"""),1.5E8)</f>
        <v>150000000</v>
      </c>
      <c r="AB331" s="60">
        <f>IFERROR(__xludf.DUMMYFUNCTION("""COMPUTED_VALUE"""),3.81E8)</f>
        <v>381000000</v>
      </c>
      <c r="AC331" s="60"/>
      <c r="AD331" s="73"/>
      <c r="AE331" s="73"/>
      <c r="AF331" s="76">
        <f>IFERROR(__xludf.DUMMYFUNCTION("""COMPUTED_VALUE"""),3.81E7)</f>
        <v>38100000</v>
      </c>
      <c r="AG331" s="60">
        <f>IFERROR(__xludf.DUMMYFUNCTION("""COMPUTED_VALUE"""),3.80238E8)</f>
        <v>380238000</v>
      </c>
    </row>
    <row r="332">
      <c r="A332" s="54" t="str">
        <f>IFERROR(__xludf.DUMMYFUNCTION("""COMPUTED_VALUE"""),"GOAC")</f>
        <v>GOAC</v>
      </c>
      <c r="B332" s="55" t="str">
        <f>IFERROR(__xludf.DUMMYFUNCTION("""COMPUTED_VALUE"""),"GO Acquisition")</f>
        <v>GO Acquisition</v>
      </c>
      <c r="C332" s="56" t="str">
        <f>IFERROR(__xludf.DUMMYFUNCTION("""COMPUTED_VALUE"""),"Searching")</f>
        <v>Searching</v>
      </c>
      <c r="D332" s="57" t="str">
        <f>IFERROR(__xludf.DUMMYFUNCTION("""COMPUTED_VALUE"""),"Travel")</f>
        <v>Travel</v>
      </c>
      <c r="E332" s="58"/>
      <c r="F332" s="59" t="str">
        <f>IFERROR(__xludf.DUMMYFUNCTION("""COMPUTED_VALUE"""),"Greg O'Hara (Founder, Certares; Vice Chairman, Liberty Tripadvisor Holdings; Director, Tripadvisor), Noam Gottesman (co-founder, GLG Partners; Founder/MD of Tom’s Capital)")</f>
        <v>Greg O'Hara (Founder, Certares; Vice Chairman, Liberty Tripadvisor Holdings; Director, Tripadvisor), Noam Gottesman (co-founder, GLG Partners; Founder/MD of Tom’s Capital)</v>
      </c>
      <c r="G332" s="60">
        <f>IFERROR(__xludf.DUMMYFUNCTION("""COMPUTED_VALUE"""),5.75253315E8)</f>
        <v>575253315</v>
      </c>
      <c r="H332" s="60">
        <f>IFERROR(__xludf.DUMMYFUNCTION("""COMPUTED_VALUE"""),5.74425E8)</f>
        <v>574425000</v>
      </c>
      <c r="I332" s="61">
        <f>IFERROR(__xludf.DUMMYFUNCTION("""COMPUTED_VALUE"""),9.99)</f>
        <v>9.99</v>
      </c>
      <c r="J332" s="62">
        <f>IFERROR(__xludf.DUMMYFUNCTION("""COMPUTED_VALUE"""),0.001)</f>
        <v>0.001</v>
      </c>
      <c r="K332" s="59">
        <f>IFERROR(__xludf.DUMMYFUNCTION("""COMPUTED_VALUE"""),10.33)</f>
        <v>10.33</v>
      </c>
      <c r="L332" s="63">
        <f>IFERROR(__xludf.DUMMYFUNCTION("""COMPUTED_VALUE"""),1.04)</f>
        <v>1.04</v>
      </c>
      <c r="M332" s="64" t="str">
        <f>IFERROR(__xludf.DUMMYFUNCTION("""COMPUTED_VALUE"""),"U: [1/3 W]; W: [1:1, $11.5]")</f>
        <v>U: [1/3 W]; W: [1:1, $11.5]</v>
      </c>
      <c r="N332" s="65" t="str">
        <f>IFERROR(__xludf.DUMMYFUNCTION("""COMPUTED_VALUE"""),"")</f>
        <v/>
      </c>
      <c r="O332" s="66">
        <f>IFERROR(__xludf.DUMMYFUNCTION("""COMPUTED_VALUE"""),0.0)</f>
        <v>0</v>
      </c>
      <c r="P332" s="67">
        <f>IFERROR(__xludf.DUMMYFUNCTION("""COMPUTED_VALUE"""),44048.0)</f>
        <v>44048</v>
      </c>
      <c r="Q332" s="68">
        <f>IFERROR(__xludf.DUMMYFUNCTION("""COMPUTED_VALUE"""),575.0)</f>
        <v>575</v>
      </c>
      <c r="R332" s="85" t="str">
        <f>IFERROR(__xludf.DUMMYFUNCTION("""COMPUTED_VALUE"""),"Credit Suisse")</f>
        <v>Credit Suisse</v>
      </c>
      <c r="S332" s="64">
        <f>IFERROR(__xludf.DUMMYFUNCTION("""COMPUTED_VALUE"""),44778.0)</f>
        <v>44778</v>
      </c>
      <c r="T332" s="70">
        <f>IFERROR(__xludf.DUMMYFUNCTION("""COMPUTED_VALUE"""),0.33972602739726027)</f>
        <v>0.3397260274</v>
      </c>
      <c r="U332" s="71" t="str">
        <f>IFERROR(__xludf.DUMMYFUNCTION("""COMPUTED_VALUE"""),"https://www.sec.gov/cgi-bin/browse-edgar?CIK=1816176")</f>
        <v>https://www.sec.gov/cgi-bin/browse-edgar?CIK=1816176</v>
      </c>
      <c r="V332" s="72" t="str">
        <f>IFERROR(__xludf.DUMMYFUNCTION("""COMPUTED_VALUE""")," Trading Below $10 (Common)  $500M+ Trust     Well-known Sponsor   ")</f>
        <v> Trading Below $10 (Common)  $500M+ Trust     Well-known Sponsor   </v>
      </c>
      <c r="W332" s="73"/>
      <c r="X332" s="74"/>
      <c r="Y332" s="75"/>
      <c r="Z332" s="60"/>
      <c r="AA332" s="60"/>
      <c r="AB332" s="60"/>
      <c r="AC332" s="60"/>
      <c r="AD332" s="73"/>
      <c r="AE332" s="73"/>
      <c r="AF332" s="76"/>
      <c r="AG332" s="60" t="str">
        <f>IFERROR(__xludf.DUMMYFUNCTION("""COMPUTED_VALUE"""),"")</f>
        <v/>
      </c>
    </row>
    <row r="333">
      <c r="A333" s="54" t="str">
        <f>IFERROR(__xludf.DUMMYFUNCTION("""COMPUTED_VALUE"""),"GPAC")</f>
        <v>GPAC</v>
      </c>
      <c r="B333" s="55" t="str">
        <f>IFERROR(__xludf.DUMMYFUNCTION("""COMPUTED_VALUE"""),"Global Partner Acquisition Corp II")</f>
        <v>Global Partner Acquisition Corp II</v>
      </c>
      <c r="C333" s="56" t="str">
        <f>IFERROR(__xludf.DUMMYFUNCTION("""COMPUTED_VALUE"""),"Searching")</f>
        <v>Searching</v>
      </c>
      <c r="D333" s="57" t="str">
        <f>IFERROR(__xludf.DUMMYFUNCTION("""COMPUTED_VALUE"""),"Consumer, Food, Branded products, E-commerce, retail disruptors, Consumer healthcare")</f>
        <v>Consumer, Food, Branded products, E-commerce, retail disruptors, Consumer healthcare</v>
      </c>
      <c r="E333" s="58"/>
      <c r="F333" s="59" t="str">
        <f>IFERROR(__xludf.DUMMYFUNCTION("""COMPUTED_VALUE"""),"Paul Zepf (Non-exec Chairman, Purple; Fmr CEO, GPAC)")</f>
        <v>Paul Zepf (Non-exec Chairman, Purple; Fmr CEO, GPAC)</v>
      </c>
      <c r="G333" s="60">
        <f>IFERROR(__xludf.DUMMYFUNCTION("""COMPUTED_VALUE"""),3.0E8)</f>
        <v>300000000</v>
      </c>
      <c r="H333" s="60">
        <f>IFERROR(__xludf.DUMMYFUNCTION("""COMPUTED_VALUE"""),2.952E8)</f>
        <v>295200000</v>
      </c>
      <c r="I333" s="61">
        <f>IFERROR(__xludf.DUMMYFUNCTION("""COMPUTED_VALUE"""),9.84)</f>
        <v>9.84</v>
      </c>
      <c r="J333" s="62">
        <f>IFERROR(__xludf.DUMMYFUNCTION("""COMPUTED_VALUE"""),-0.01205)</f>
        <v>-0.01205</v>
      </c>
      <c r="K333" s="59">
        <f>IFERROR(__xludf.DUMMYFUNCTION("""COMPUTED_VALUE"""),10.0)</f>
        <v>10</v>
      </c>
      <c r="L333" s="63">
        <f>IFERROR(__xludf.DUMMYFUNCTION("""COMPUTED_VALUE"""),1.07)</f>
        <v>1.07</v>
      </c>
      <c r="M333" s="64" t="str">
        <f>IFERROR(__xludf.DUMMYFUNCTION("""COMPUTED_VALUE"""),"U: [1/6 W]; W: [1:1, $11.5]")</f>
        <v>U: [1/6 W]; W: [1:1, $11.5]</v>
      </c>
      <c r="N333" s="65" t="str">
        <f>IFERROR(__xludf.DUMMYFUNCTION("""COMPUTED_VALUE"""),"")</f>
        <v/>
      </c>
      <c r="O333" s="66">
        <f>IFERROR(__xludf.DUMMYFUNCTION("""COMPUTED_VALUE"""),0.0)</f>
        <v>0</v>
      </c>
      <c r="P333" s="67">
        <f>IFERROR(__xludf.DUMMYFUNCTION("""COMPUTED_VALUE"""),44207.0)</f>
        <v>44207</v>
      </c>
      <c r="Q333" s="68">
        <f>IFERROR(__xludf.DUMMYFUNCTION("""COMPUTED_VALUE"""),300.0)</f>
        <v>300</v>
      </c>
      <c r="R333" s="85" t="str">
        <f>IFERROR(__xludf.DUMMYFUNCTION("""COMPUTED_VALUE"""),"UBS, RBC Capital Markets")</f>
        <v>UBS, RBC Capital Markets</v>
      </c>
      <c r="S333" s="64">
        <f>IFERROR(__xludf.DUMMYFUNCTION("""COMPUTED_VALUE"""),44937.0)</f>
        <v>44937</v>
      </c>
      <c r="T333" s="70">
        <f>IFERROR(__xludf.DUMMYFUNCTION("""COMPUTED_VALUE"""),0.12191780821917808)</f>
        <v>0.1219178082</v>
      </c>
      <c r="U333" s="71" t="str">
        <f>IFERROR(__xludf.DUMMYFUNCTION("""COMPUTED_VALUE"""),"https://www.sec.gov/cgi-bin/browse-edgar?CIK=1831979")</f>
        <v>https://www.sec.gov/cgi-bin/browse-edgar?CIK=1831979</v>
      </c>
      <c r="V333" s="72" t="str">
        <f>IFERROR(__xludf.DUMMYFUNCTION("""COMPUTED_VALUE""")," Trading Below $10 (Common)           ")</f>
        <v> Trading Below $10 (Common)           </v>
      </c>
      <c r="W333" s="73"/>
      <c r="X333" s="74"/>
      <c r="Y333" s="75"/>
      <c r="Z333" s="60"/>
      <c r="AA333" s="60"/>
      <c r="AB333" s="60"/>
      <c r="AC333" s="60"/>
      <c r="AD333" s="73"/>
      <c r="AE333" s="73"/>
      <c r="AF333" s="76"/>
      <c r="AG333" s="60" t="str">
        <f>IFERROR(__xludf.DUMMYFUNCTION("""COMPUTED_VALUE"""),"")</f>
        <v/>
      </c>
    </row>
    <row r="334">
      <c r="A334" s="54" t="str">
        <f>IFERROR(__xludf.DUMMYFUNCTION("""COMPUTED_VALUE"""),"GPAT")</f>
        <v>GPAT</v>
      </c>
      <c r="B334" s="55" t="str">
        <f>IFERROR(__xludf.DUMMYFUNCTION("""COMPUTED_VALUE"""),"GP-Act III Acquisition Corp.")</f>
        <v>GP-Act III Acquisition Corp.</v>
      </c>
      <c r="C334" s="56" t="str">
        <f>IFERROR(__xludf.DUMMYFUNCTION("""COMPUTED_VALUE"""),"Pre IPO")</f>
        <v>Pre IPO</v>
      </c>
      <c r="D334" s="77" t="str">
        <f>IFERROR(__xludf.DUMMYFUNCTION("""COMPUTED_VALUE"""),"Consumer")</f>
        <v>Consumer</v>
      </c>
      <c r="E334" s="58"/>
      <c r="F334" s="59" t="str">
        <f>IFERROR(__xludf.DUMMYFUNCTION("""COMPUTED_VALUE"""),"Fersen Lamas Lambranho (Chairman of GP Investments), Irwin Simon (Co-founder of The Hain Celestial Group, Chairman &amp; CEO of Aphria, Former Director of Barnes &amp; Noble), Antonio Bonchristiano (CEO of GP Investments), George Roeth (Former CEO of Central Gard"&amp;"en and Pet, Former COO of Clorox)")</f>
        <v>Fersen Lamas Lambranho (Chairman of GP Investments), Irwin Simon (Co-founder of The Hain Celestial Group, Chairman &amp; CEO of Aphria, Former Director of Barnes &amp; Noble), Antonio Bonchristiano (CEO of GP Investments), George Roeth (Former CEO of Central Garden and Pet, Former COO of Clorox)</v>
      </c>
      <c r="G334" s="60">
        <f>IFERROR(__xludf.DUMMYFUNCTION("""COMPUTED_VALUE"""),2.5E8)</f>
        <v>250000000</v>
      </c>
      <c r="H334" s="60" t="str">
        <f>IFERROR(__xludf.DUMMYFUNCTION("""COMPUTED_VALUE""")," ")</f>
        <v> </v>
      </c>
      <c r="I334" s="61" t="str">
        <f>IFERROR(__xludf.DUMMYFUNCTION("""COMPUTED_VALUE""")," ")</f>
        <v> </v>
      </c>
      <c r="J334" s="62" t="str">
        <f>IFERROR(__xludf.DUMMYFUNCTION("""COMPUTED_VALUE""")," ")</f>
        <v> </v>
      </c>
      <c r="K334" s="59" t="str">
        <f>IFERROR(__xludf.DUMMYFUNCTION("""COMPUTED_VALUE""")," ")</f>
        <v> </v>
      </c>
      <c r="L334" s="63" t="str">
        <f>IFERROR(__xludf.DUMMYFUNCTION("""COMPUTED_VALUE""")," ")</f>
        <v> </v>
      </c>
      <c r="M334" s="64" t="str">
        <f>IFERROR(__xludf.DUMMYFUNCTION("""COMPUTED_VALUE"""),"U: [1/3 W]; W: [1:1, $11.5]")</f>
        <v>U: [1/3 W]; W: [1:1, $11.5]</v>
      </c>
      <c r="N334" s="65" t="str">
        <f>IFERROR(__xludf.DUMMYFUNCTION("""COMPUTED_VALUE"""),"")</f>
        <v/>
      </c>
      <c r="O334" s="66">
        <f>IFERROR(__xludf.DUMMYFUNCTION("""COMPUTED_VALUE"""),0.0)</f>
        <v>0</v>
      </c>
      <c r="P334" s="67"/>
      <c r="Q334" s="68">
        <f>IFERROR(__xludf.DUMMYFUNCTION("""COMPUTED_VALUE"""),250.0)</f>
        <v>250</v>
      </c>
      <c r="R334" s="85" t="str">
        <f>IFERROR(__xludf.DUMMYFUNCTION("""COMPUTED_VALUE"""),"Citigroup, Cantor")</f>
        <v>Citigroup, Cantor</v>
      </c>
      <c r="S334" s="64">
        <f>IFERROR(__xludf.DUMMYFUNCTION("""COMPUTED_VALUE"""),45086.0)</f>
        <v>45086</v>
      </c>
      <c r="T334" s="70" t="str">
        <f>IFERROR(__xludf.DUMMYFUNCTION("""COMPUTED_VALUE"""),"")</f>
        <v/>
      </c>
      <c r="U334" s="71" t="str">
        <f>IFERROR(__xludf.DUMMYFUNCTION("""COMPUTED_VALUE"""),"https://www.sec.gov/cgi-bin/browse-edgar?CIK=1834526")</f>
        <v>https://www.sec.gov/cgi-bin/browse-edgar?CIK=1834526</v>
      </c>
      <c r="V334" s="72" t="str">
        <f>IFERROR(__xludf.DUMMYFUNCTION("""COMPUTED_VALUE"""),"         Well-known Sponsor Serial Sponsor Top Tier UW ")</f>
        <v>         Well-known Sponsor Serial Sponsor Top Tier UW </v>
      </c>
      <c r="W334" s="73"/>
      <c r="X334" s="74"/>
      <c r="Y334" s="75"/>
      <c r="Z334" s="60"/>
      <c r="AA334" s="60"/>
      <c r="AB334" s="60"/>
      <c r="AC334" s="60"/>
      <c r="AD334" s="73"/>
      <c r="AE334" s="73"/>
      <c r="AF334" s="76"/>
      <c r="AG334" s="60"/>
    </row>
    <row r="335">
      <c r="A335" s="54" t="str">
        <f>IFERROR(__xludf.DUMMYFUNCTION("""COMPUTED_VALUE"""),"GRAF")</f>
        <v>GRAF</v>
      </c>
      <c r="B335" s="55" t="str">
        <f>IFERROR(__xludf.DUMMYFUNCTION("""COMPUTED_VALUE"""),"Graf Acquisition Corp. III")</f>
        <v>Graf Acquisition Corp. III</v>
      </c>
      <c r="C335" s="56" t="str">
        <f>IFERROR(__xludf.DUMMYFUNCTION("""COMPUTED_VALUE"""),"Pre IPO")</f>
        <v>Pre IPO</v>
      </c>
      <c r="D335" s="57"/>
      <c r="E335" s="58"/>
      <c r="F335" s="59" t="str">
        <f>IFERROR(__xludf.DUMMYFUNCTION("""COMPUTED_VALUE"""),"James Graf (Former CEO of Graf Industrial Corp)")</f>
        <v>James Graf (Former CEO of Graf Industrial Corp)</v>
      </c>
      <c r="G335" s="60">
        <f>IFERROR(__xludf.DUMMYFUNCTION("""COMPUTED_VALUE"""),3.0E8)</f>
        <v>300000000</v>
      </c>
      <c r="H335" s="60" t="str">
        <f>IFERROR(__xludf.DUMMYFUNCTION("""COMPUTED_VALUE""")," ")</f>
        <v> </v>
      </c>
      <c r="I335" s="61" t="str">
        <f>IFERROR(__xludf.DUMMYFUNCTION("""COMPUTED_VALUE""")," ")</f>
        <v> </v>
      </c>
      <c r="J335" s="62" t="str">
        <f>IFERROR(__xludf.DUMMYFUNCTION("""COMPUTED_VALUE""")," ")</f>
        <v> </v>
      </c>
      <c r="K335" s="59" t="str">
        <f>IFERROR(__xludf.DUMMYFUNCTION("""COMPUTED_VALUE""")," ")</f>
        <v> </v>
      </c>
      <c r="L335" s="63" t="str">
        <f>IFERROR(__xludf.DUMMYFUNCTION("""COMPUTED_VALUE""")," ")</f>
        <v> </v>
      </c>
      <c r="M335" s="64" t="str">
        <f>IFERROR(__xludf.DUMMYFUNCTION("""COMPUTED_VALUE"""),"U: [1/3 W]; W: [1:1, $11.5]")</f>
        <v>U: [1/3 W]; W: [1:1, $11.5]</v>
      </c>
      <c r="N335" s="65" t="str">
        <f>IFERROR(__xludf.DUMMYFUNCTION("""COMPUTED_VALUE"""),"")</f>
        <v/>
      </c>
      <c r="O335" s="66">
        <f>IFERROR(__xludf.DUMMYFUNCTION("""COMPUTED_VALUE"""),0.0)</f>
        <v>0</v>
      </c>
      <c r="P335" s="67"/>
      <c r="Q335" s="68">
        <f>IFERROR(__xludf.DUMMYFUNCTION("""COMPUTED_VALUE"""),300.0)</f>
        <v>300</v>
      </c>
      <c r="R335" s="69" t="str">
        <f>IFERROR(__xludf.DUMMYFUNCTION("""COMPUTED_VALUE"""),"Oppenheimer &amp; Co.")</f>
        <v>Oppenheimer &amp; Co.</v>
      </c>
      <c r="S335" s="64">
        <f>IFERROR(__xludf.DUMMYFUNCTION("""COMPUTED_VALUE"""),45086.0)</f>
        <v>45086</v>
      </c>
      <c r="T335" s="70" t="str">
        <f>IFERROR(__xludf.DUMMYFUNCTION("""COMPUTED_VALUE"""),"")</f>
        <v/>
      </c>
      <c r="U335" s="71" t="str">
        <f>IFERROR(__xludf.DUMMYFUNCTION("""COMPUTED_VALUE"""),"https://www.sec.gov/cgi-bin/browse-edgar?CIK=1845457")</f>
        <v>https://www.sec.gov/cgi-bin/browse-edgar?CIK=1845457</v>
      </c>
      <c r="V335" s="72" t="str">
        <f>IFERROR(__xludf.DUMMYFUNCTION("""COMPUTED_VALUE"""),"          Serial Sponsor  ")</f>
        <v>          Serial Sponsor  </v>
      </c>
      <c r="W335" s="73"/>
      <c r="X335" s="74"/>
      <c r="Y335" s="75"/>
      <c r="Z335" s="60"/>
      <c r="AA335" s="60"/>
      <c r="AB335" s="60"/>
      <c r="AC335" s="60"/>
      <c r="AD335" s="73"/>
      <c r="AE335" s="73"/>
      <c r="AF335" s="76"/>
      <c r="AG335" s="60"/>
    </row>
    <row r="336">
      <c r="A336" s="54" t="str">
        <f>IFERROR(__xludf.DUMMYFUNCTION("""COMPUTED_VALUE"""),"GRCY")</f>
        <v>GRCY</v>
      </c>
      <c r="B336" s="55" t="str">
        <f>IFERROR(__xludf.DUMMYFUNCTION("""COMPUTED_VALUE"""),"Greencity Acquisition")</f>
        <v>Greencity Acquisition</v>
      </c>
      <c r="C336" s="56" t="str">
        <f>IFERROR(__xludf.DUMMYFUNCTION("""COMPUTED_VALUE"""),"Searching")</f>
        <v>Searching</v>
      </c>
      <c r="D336" s="57" t="str">
        <f>IFERROR(__xludf.DUMMYFUNCTION("""COMPUTED_VALUE"""),"Asia")</f>
        <v>Asia</v>
      </c>
      <c r="E336" s="58"/>
      <c r="F336" s="59"/>
      <c r="G336" s="60">
        <f>IFERROR(__xludf.DUMMYFUNCTION("""COMPUTED_VALUE"""),4.0615212E7)</f>
        <v>40615212</v>
      </c>
      <c r="H336" s="60">
        <f>IFERROR(__xludf.DUMMYFUNCTION("""COMPUTED_VALUE"""),5.33364E7)</f>
        <v>53336400</v>
      </c>
      <c r="I336" s="61">
        <f>IFERROR(__xludf.DUMMYFUNCTION("""COMPUTED_VALUE"""),10.14)</f>
        <v>10.14</v>
      </c>
      <c r="J336" s="62">
        <f>IFERROR(__xludf.DUMMYFUNCTION("""COMPUTED_VALUE"""),0.00695)</f>
        <v>0.00695</v>
      </c>
      <c r="K336" s="59">
        <f>IFERROR(__xludf.DUMMYFUNCTION("""COMPUTED_VALUE"""),10.38)</f>
        <v>10.38</v>
      </c>
      <c r="L336" s="63">
        <f>IFERROR(__xludf.DUMMYFUNCTION("""COMPUTED_VALUE"""),0.36)</f>
        <v>0.36</v>
      </c>
      <c r="M336" s="64" t="str">
        <f>IFERROR(__xludf.DUMMYFUNCTION("""COMPUTED_VALUE"""),"U: [1 W]; W: [2:1, $11.5]")</f>
        <v>U: [1 W]; W: [2:1, $11.5]</v>
      </c>
      <c r="N336" s="65" t="str">
        <f>IFERROR(__xludf.DUMMYFUNCTION("""COMPUTED_VALUE"""),"")</f>
        <v/>
      </c>
      <c r="O336" s="66">
        <f>IFERROR(__xludf.DUMMYFUNCTION("""COMPUTED_VALUE"""),0.0)</f>
        <v>0</v>
      </c>
      <c r="P336" s="67">
        <f>IFERROR(__xludf.DUMMYFUNCTION("""COMPUTED_VALUE"""),44035.0)</f>
        <v>44035</v>
      </c>
      <c r="Q336" s="68">
        <f>IFERROR(__xludf.DUMMYFUNCTION("""COMPUTED_VALUE"""),40.6)</f>
        <v>40.6</v>
      </c>
      <c r="R336" s="85" t="str">
        <f>IFERROR(__xludf.DUMMYFUNCTION("""COMPUTED_VALUE"""),"Ladenburg Thalmann")</f>
        <v>Ladenburg Thalmann</v>
      </c>
      <c r="S336" s="64">
        <f>IFERROR(__xludf.DUMMYFUNCTION("""COMPUTED_VALUE"""),44582.5)</f>
        <v>44582.5</v>
      </c>
      <c r="T336" s="70">
        <f>IFERROR(__xludf.DUMMYFUNCTION("""COMPUTED_VALUE"""),0.4767123287671233)</f>
        <v>0.4767123288</v>
      </c>
      <c r="U336" s="71" t="str">
        <f>IFERROR(__xludf.DUMMYFUNCTION("""COMPUTED_VALUE"""),"https://www.sec.gov/cgi-bin/browse-edgar?CIK=1768910")</f>
        <v>https://www.sec.gov/cgi-bin/browse-edgar?CIK=1768910</v>
      </c>
      <c r="V336" s="72" t="str">
        <f>IFERROR(__xludf.DUMMYFUNCTION("""COMPUTED_VALUE"""),"            ")</f>
        <v>            </v>
      </c>
      <c r="W336" s="73"/>
      <c r="X336" s="74"/>
      <c r="Y336" s="75"/>
      <c r="Z336" s="60"/>
      <c r="AA336" s="60"/>
      <c r="AB336" s="60"/>
      <c r="AC336" s="60"/>
      <c r="AD336" s="73"/>
      <c r="AE336" s="73"/>
      <c r="AF336" s="76"/>
      <c r="AG336" s="60" t="str">
        <f>IFERROR(__xludf.DUMMYFUNCTION("""COMPUTED_VALUE"""),"")</f>
        <v/>
      </c>
    </row>
    <row r="337">
      <c r="A337" s="54" t="str">
        <f>IFERROR(__xludf.DUMMYFUNCTION("""COMPUTED_VALUE"""),"GRNV")</f>
        <v>GRNV</v>
      </c>
      <c r="B337" s="55" t="str">
        <f>IFERROR(__xludf.DUMMYFUNCTION("""COMPUTED_VALUE"""),"GreenVision Acquisition Corp")</f>
        <v>GreenVision Acquisition Corp</v>
      </c>
      <c r="C337" s="56" t="str">
        <f>IFERROR(__xludf.DUMMYFUNCTION("""COMPUTED_VALUE"""),"Definitive Agreement")</f>
        <v>Definitive Agreement</v>
      </c>
      <c r="D337" s="57" t="str">
        <f>IFERROR(__xludf.DUMMYFUNCTION("""COMPUTED_VALUE"""),"Healthcare, China, Asia, Life Sciences")</f>
        <v>Healthcare, China, Asia, Life Sciences</v>
      </c>
      <c r="E337" s="58" t="str">
        <f>IFERROR(__xludf.DUMMYFUNCTION("""COMPUTED_VALUE"""),"Helbiz [DA: 02/08/21]")</f>
        <v>Helbiz [DA: 02/08/21]</v>
      </c>
      <c r="F337" s="59"/>
      <c r="G337" s="60">
        <f>IFERROR(__xludf.DUMMYFUNCTION("""COMPUTED_VALUE"""),5.7839584E7)</f>
        <v>57839584</v>
      </c>
      <c r="H337" s="60">
        <f>IFERROR(__xludf.DUMMYFUNCTION("""COMPUTED_VALUE"""),7.316875E7)</f>
        <v>73168750</v>
      </c>
      <c r="I337" s="61">
        <f>IFERROR(__xludf.DUMMYFUNCTION("""COMPUTED_VALUE"""),10.18)</f>
        <v>10.18</v>
      </c>
      <c r="J337" s="62"/>
      <c r="K337" s="59">
        <f>IFERROR(__xludf.DUMMYFUNCTION("""COMPUTED_VALUE"""),11.2)</f>
        <v>11.2</v>
      </c>
      <c r="L337" s="63">
        <f>IFERROR(__xludf.DUMMYFUNCTION("""COMPUTED_VALUE"""),0.885)</f>
        <v>0.885</v>
      </c>
      <c r="M337" s="64" t="str">
        <f>IFERROR(__xludf.DUMMYFUNCTION("""COMPUTED_VALUE"""),"U: [1 W, 1 R (1/10 sh)]; W: [1:1, $11.5]")</f>
        <v>U: [1 W, 1 R (1/10 sh)]; W: [1:1, $11.5]</v>
      </c>
      <c r="N337" s="65" t="str">
        <f>IFERROR(__xludf.DUMMYFUNCTION("""COMPUTED_VALUE"""),"")</f>
        <v/>
      </c>
      <c r="O337" s="66">
        <f>IFERROR(__xludf.DUMMYFUNCTION("""COMPUTED_VALUE"""),0.0)</f>
        <v>0</v>
      </c>
      <c r="P337" s="67">
        <f>IFERROR(__xludf.DUMMYFUNCTION("""COMPUTED_VALUE"""),43788.0)</f>
        <v>43788</v>
      </c>
      <c r="Q337" s="68">
        <f>IFERROR(__xludf.DUMMYFUNCTION("""COMPUTED_VALUE"""),57.5)</f>
        <v>57.5</v>
      </c>
      <c r="R337" s="85" t="str">
        <f>IFERROR(__xludf.DUMMYFUNCTION("""COMPUTED_VALUE"""),"I-Bankers")</f>
        <v>I-Bankers</v>
      </c>
      <c r="S337" s="64">
        <f>IFERROR(__xludf.DUMMYFUNCTION("""COMPUTED_VALUE"""),44337.0)</f>
        <v>44337</v>
      </c>
      <c r="T337" s="70">
        <f>IFERROR(__xludf.DUMMYFUNCTION("""COMPUTED_VALUE"""),0.9253187613843351)</f>
        <v>0.9253187614</v>
      </c>
      <c r="U337" s="71" t="str">
        <f>IFERROR(__xludf.DUMMYFUNCTION("""COMPUTED_VALUE"""),"https://www.sec.gov/cgi-bin/browse-edgar?CIK=1788841")</f>
        <v>https://www.sec.gov/cgi-bin/browse-edgar?CIK=1788841</v>
      </c>
      <c r="V337" s="72" t="str">
        <f>IFERROR(__xludf.DUMMYFUNCTION("""COMPUTED_VALUE"""),"      Deadline Approaching Has Rights     ")</f>
        <v>      Deadline Approaching Has Rights     </v>
      </c>
      <c r="W337" s="73">
        <f>IFERROR(__xludf.DUMMYFUNCTION("""COMPUTED_VALUE"""),44235.0)</f>
        <v>44235</v>
      </c>
      <c r="X337" s="79">
        <f>IFERROR(__xludf.DUMMYFUNCTION("""COMPUTED_VALUE"""),14.9)</f>
        <v>14.9</v>
      </c>
      <c r="Y337" s="80" t="str">
        <f>IFERROR(__xludf.DUMMYFUNCTION("""COMPUTED_VALUE"""),"https://www.businesswire.com/news/home/20210208005690/en/GreenVision-Acquisition-Corp.-Announces-Merger-Agreement-With-Helbiz-Inc.-to-Become-the-First-Micro-Mobility-Company-Listed-on-NASDAQ/?feedref=JjAwJuNHiystnCoBq_hl-XEemlDQ6NgDkiei3bSxnzGlJCVVeQL8sr5"&amp;"Wvng8AXxRSfe41V1BKA-b6v2ZVrSSNs-dUYKiDvY7XniNSqv88QcY1Ge_vf9QIMZ4alzIf_0HE01s4RTGeX_C4TDnN9C9Cg==")</f>
        <v>https://www.businesswire.com/news/home/20210208005690/en/GreenVision-Acquisition-Corp.-Announces-Merger-Agreement-With-Helbiz-Inc.-to-Become-the-First-Micro-Mobility-Company-Listed-on-NASDAQ/?feedref=JjAwJuNHiystnCoBq_hl-XEemlDQ6NgDkiei3bSxnzGlJCVVeQL8sr5Wvng8AXxRSfe41V1BKA-b6v2ZVrSSNs-dUYKiDvY7XniNSqv88QcY1Ge_vf9QIMZ4alzIf_0HE01s4RTGeX_C4TDnN9C9Cg==</v>
      </c>
      <c r="Z337" s="81" t="str">
        <f>IFERROR(__xludf.DUMMYFUNCTION("""COMPUTED_VALUE"""),"https://www.sec.gov/Archives/edgar/data/1788841/000121390021007446/ea134831ex99-2_greenvision.htm")</f>
        <v>https://www.sec.gov/Archives/edgar/data/1788841/000121390021007446/ea134831ex99-2_greenvision.htm</v>
      </c>
      <c r="AA337" s="60">
        <f>IFERROR(__xludf.DUMMYFUNCTION("""COMPUTED_VALUE"""),3.0E7)</f>
        <v>30000000</v>
      </c>
      <c r="AB337" s="60">
        <f>IFERROR(__xludf.DUMMYFUNCTION("""COMPUTED_VALUE"""),4.08E8)</f>
        <v>408000000</v>
      </c>
      <c r="AC337" s="60">
        <f>IFERROR(__xludf.DUMMYFUNCTION("""COMPUTED_VALUE"""),3.205E9)</f>
        <v>3205000000</v>
      </c>
      <c r="AD337" s="73"/>
      <c r="AE337" s="73"/>
      <c r="AF337" s="76">
        <f>IFERROR(__xludf.DUMMYFUNCTION("""COMPUTED_VALUE"""),4.08E7)</f>
        <v>40800000</v>
      </c>
      <c r="AG337" s="60">
        <f>IFERROR(__xludf.DUMMYFUNCTION("""COMPUTED_VALUE"""),4.15344E8)</f>
        <v>415344000</v>
      </c>
    </row>
    <row r="338">
      <c r="A338" s="54" t="str">
        <f>IFERROR(__xludf.DUMMYFUNCTION("""COMPUTED_VALUE"""),"GRSV")</f>
        <v>GRSV</v>
      </c>
      <c r="B338" s="55" t="str">
        <f>IFERROR(__xludf.DUMMYFUNCTION("""COMPUTED_VALUE"""),"Gores Holdings V, Inc")</f>
        <v>Gores Holdings V, Inc</v>
      </c>
      <c r="C338" s="56" t="str">
        <f>IFERROR(__xludf.DUMMYFUNCTION("""COMPUTED_VALUE"""),"Definitive Agreement")</f>
        <v>Definitive Agreement</v>
      </c>
      <c r="D338" s="57"/>
      <c r="E338" s="58" t="str">
        <f>IFERROR(__xludf.DUMMYFUNCTION("""COMPUTED_VALUE"""),"Ardagh Metal Packaging [DA: 02/23/21]")</f>
        <v>Ardagh Metal Packaging [DA: 02/23/21]</v>
      </c>
      <c r="F338" s="59" t="str">
        <f>IFERROR(__xludf.DUMMYFUNCTION("""COMPUTED_VALUE"""),"Alec Gores (Founder of The Gores Group)")</f>
        <v>Alec Gores (Founder of The Gores Group)</v>
      </c>
      <c r="G338" s="60">
        <f>IFERROR(__xludf.DUMMYFUNCTION("""COMPUTED_VALUE"""),5.25007336E8)</f>
        <v>525007336</v>
      </c>
      <c r="H338" s="60">
        <f>IFERROR(__xludf.DUMMYFUNCTION("""COMPUTED_VALUE"""),5.3025E8)</f>
        <v>530250000</v>
      </c>
      <c r="I338" s="61">
        <f>IFERROR(__xludf.DUMMYFUNCTION("""COMPUTED_VALUE"""),10.1)</f>
        <v>10.1</v>
      </c>
      <c r="J338" s="62">
        <f>IFERROR(__xludf.DUMMYFUNCTION("""COMPUTED_VALUE"""),0.00698)</f>
        <v>0.00698</v>
      </c>
      <c r="K338" s="59">
        <f>IFERROR(__xludf.DUMMYFUNCTION("""COMPUTED_VALUE"""),10.45)</f>
        <v>10.45</v>
      </c>
      <c r="L338" s="63">
        <f>IFERROR(__xludf.DUMMYFUNCTION("""COMPUTED_VALUE"""),1.6)</f>
        <v>1.6</v>
      </c>
      <c r="M338" s="64" t="str">
        <f>IFERROR(__xludf.DUMMYFUNCTION("""COMPUTED_VALUE"""),"U: [1/5 W]; W: [1:1, $11.5]")</f>
        <v>U: [1/5 W]; W: [1:1, $11.5]</v>
      </c>
      <c r="N338" s="65" t="str">
        <f>IFERROR(__xludf.DUMMYFUNCTION("""COMPUTED_VALUE"""),"")</f>
        <v/>
      </c>
      <c r="O338" s="66">
        <f>IFERROR(__xludf.DUMMYFUNCTION("""COMPUTED_VALUE"""),0.0)</f>
        <v>0</v>
      </c>
      <c r="P338" s="67">
        <f>IFERROR(__xludf.DUMMYFUNCTION("""COMPUTED_VALUE"""),44048.0)</f>
        <v>44048</v>
      </c>
      <c r="Q338" s="68">
        <f>IFERROR(__xludf.DUMMYFUNCTION("""COMPUTED_VALUE"""),525.0)</f>
        <v>525</v>
      </c>
      <c r="R338" s="85" t="str">
        <f>IFERROR(__xludf.DUMMYFUNCTION("""COMPUTED_VALUE"""),"Deutsche Bank, Morgan Stanley")</f>
        <v>Deutsche Bank, Morgan Stanley</v>
      </c>
      <c r="S338" s="64">
        <f>IFERROR(__xludf.DUMMYFUNCTION("""COMPUTED_VALUE"""),44778.0)</f>
        <v>44778</v>
      </c>
      <c r="T338" s="70">
        <f>IFERROR(__xludf.DUMMYFUNCTION("""COMPUTED_VALUE"""),0.33972602739726027)</f>
        <v>0.3397260274</v>
      </c>
      <c r="U338" s="71" t="str">
        <f>IFERROR(__xludf.DUMMYFUNCTION("""COMPUTED_VALUE"""),"https://www.sec.gov/cgi-bin/browse-edgar?CIK=1816816")</f>
        <v>https://www.sec.gov/cgi-bin/browse-edgar?CIK=1816816</v>
      </c>
      <c r="V338" s="72" t="str">
        <f>IFERROR(__xludf.DUMMYFUNCTION("""COMPUTED_VALUE"""),"   $500M+ Trust     Well-known Sponsor Serial Sponsor Top Tier UW ")</f>
        <v>   $500M+ Trust     Well-known Sponsor Serial Sponsor Top Tier UW </v>
      </c>
      <c r="W338" s="73">
        <f>IFERROR(__xludf.DUMMYFUNCTION("""COMPUTED_VALUE"""),44250.0)</f>
        <v>44250</v>
      </c>
      <c r="X338" s="79">
        <f>IFERROR(__xludf.DUMMYFUNCTION("""COMPUTED_VALUE"""),6.733333333333333)</f>
        <v>6.733333333</v>
      </c>
      <c r="Y338" s="80" t="str">
        <f>IFERROR(__xludf.DUMMYFUNCTION("""COMPUTED_VALUE"""),"https://www.businesswire.com/news/home/20210223005589/en/Ardagh-Metal-Packaging-to-Combine-With-Gores-Holdings-V-and-List-on-NYSE/?feedref=JjAwJuNHiystnCoBq_hl-aH2gtkQQ1l6W3ZaPesXFm57cpar2z2OJ_5SQGMGwVHJgBtFNItNzWaC-E-WdoEDnkz6i6lCdteeEqxiTxGYcX8eF_GK2rQq"&amp;"AnK3e1SETIZU")</f>
        <v>https://www.businesswire.com/news/home/20210223005589/en/Ardagh-Metal-Packaging-to-Combine-With-Gores-Holdings-V-and-List-on-NYSE/?feedref=JjAwJuNHiystnCoBq_hl-aH2gtkQQ1l6W3ZaPesXFm57cpar2z2OJ_5SQGMGwVHJgBtFNItNzWaC-E-WdoEDnkz6i6lCdteeEqxiTxGYcX8eF_GK2rQqAnK3e1SETIZU</v>
      </c>
      <c r="Z338" s="81" t="str">
        <f>IFERROR(__xludf.DUMMYFUNCTION("""COMPUTED_VALUE"""),"https://www.sec.gov/Archives/edgar/data/1816816/000119312521051423/d61123dex992.htm")</f>
        <v>https://www.sec.gov/Archives/edgar/data/1816816/000119312521051423/d61123dex992.htm</v>
      </c>
      <c r="AA338" s="60">
        <f>IFERROR(__xludf.DUMMYFUNCTION("""COMPUTED_VALUE"""),6.0E8)</f>
        <v>600000000</v>
      </c>
      <c r="AB338" s="60">
        <f>IFERROR(__xludf.DUMMYFUNCTION("""COMPUTED_VALUE"""),6.073E9)</f>
        <v>6073000000</v>
      </c>
      <c r="AC338" s="60">
        <f>IFERROR(__xludf.DUMMYFUNCTION("""COMPUTED_VALUE"""),8.522E9)</f>
        <v>8522000000</v>
      </c>
      <c r="AD338" s="73"/>
      <c r="AE338" s="73"/>
      <c r="AF338" s="76">
        <f>IFERROR(__xludf.DUMMYFUNCTION("""COMPUTED_VALUE"""),6.073E8)</f>
        <v>607300000</v>
      </c>
      <c r="AG338" s="60">
        <f>IFERROR(__xludf.DUMMYFUNCTION("""COMPUTED_VALUE"""),6.13373E9)</f>
        <v>6133730000</v>
      </c>
    </row>
    <row r="339">
      <c r="A339" s="54" t="str">
        <f>IFERROR(__xludf.DUMMYFUNCTION("""COMPUTED_VALUE"""),"GSAH")</f>
        <v>GSAH</v>
      </c>
      <c r="B339" s="55" t="str">
        <f>IFERROR(__xludf.DUMMYFUNCTION("""COMPUTED_VALUE"""),"GS Acquisition Holdings II")</f>
        <v>GS Acquisition Holdings II</v>
      </c>
      <c r="C339" s="56" t="str">
        <f>IFERROR(__xludf.DUMMYFUNCTION("""COMPUTED_VALUE"""),"Searching")</f>
        <v>Searching</v>
      </c>
      <c r="D339" s="57"/>
      <c r="E339" s="58"/>
      <c r="F339" s="59" t="str">
        <f>IFERROR(__xludf.DUMMYFUNCTION("""COMPUTED_VALUE"""),"Goldman Sachs, Steven Reinemund (Former Exec Chairman, Fmr Chairman/CEO, PepsiCo), David Robinson (NBA Player; Co-founder, Admiral Capital Group)")</f>
        <v>Goldman Sachs, Steven Reinemund (Former Exec Chairman, Fmr Chairman/CEO, PepsiCo), David Robinson (NBA Player; Co-founder, Admiral Capital Group)</v>
      </c>
      <c r="G339" s="60">
        <f>IFERROR(__xludf.DUMMYFUNCTION("""COMPUTED_VALUE"""),7.50063158E8)</f>
        <v>750063158</v>
      </c>
      <c r="H339" s="60">
        <f>IFERROR(__xludf.DUMMYFUNCTION("""COMPUTED_VALUE"""),8.0325E8)</f>
        <v>803250000</v>
      </c>
      <c r="I339" s="61">
        <f>IFERROR(__xludf.DUMMYFUNCTION("""COMPUTED_VALUE"""),10.71)</f>
        <v>10.71</v>
      </c>
      <c r="J339" s="62">
        <f>IFERROR(__xludf.DUMMYFUNCTION("""COMPUTED_VALUE"""),-0.0129)</f>
        <v>-0.0129</v>
      </c>
      <c r="K339" s="59">
        <f>IFERROR(__xludf.DUMMYFUNCTION("""COMPUTED_VALUE"""),11.38)</f>
        <v>11.38</v>
      </c>
      <c r="L339" s="63">
        <f>IFERROR(__xludf.DUMMYFUNCTION("""COMPUTED_VALUE"""),2.78)</f>
        <v>2.78</v>
      </c>
      <c r="M339" s="64" t="str">
        <f>IFERROR(__xludf.DUMMYFUNCTION("""COMPUTED_VALUE"""),"U: [1/4 W]; W: [1:1, $11.5]")</f>
        <v>U: [1/4 W]; W: [1:1, $11.5]</v>
      </c>
      <c r="N339" s="65" t="str">
        <f>IFERROR(__xludf.DUMMYFUNCTION("""COMPUTED_VALUE"""),"")</f>
        <v/>
      </c>
      <c r="O339" s="66">
        <f>IFERROR(__xludf.DUMMYFUNCTION("""COMPUTED_VALUE"""),0.0)</f>
        <v>0</v>
      </c>
      <c r="P339" s="67">
        <f>IFERROR(__xludf.DUMMYFUNCTION("""COMPUTED_VALUE"""),44012.0)</f>
        <v>44012</v>
      </c>
      <c r="Q339" s="68">
        <f>IFERROR(__xludf.DUMMYFUNCTION("""COMPUTED_VALUE"""),750.0)</f>
        <v>750</v>
      </c>
      <c r="R339" s="85" t="str">
        <f>IFERROR(__xludf.DUMMYFUNCTION("""COMPUTED_VALUE"""),"Goldman Sachs, Citigroup")</f>
        <v>Goldman Sachs, Citigroup</v>
      </c>
      <c r="S339" s="64">
        <f>IFERROR(__xludf.DUMMYFUNCTION("""COMPUTED_VALUE"""),44742.0)</f>
        <v>44742</v>
      </c>
      <c r="T339" s="70">
        <f>IFERROR(__xludf.DUMMYFUNCTION("""COMPUTED_VALUE"""),0.38904109589041097)</f>
        <v>0.3890410959</v>
      </c>
      <c r="U339" s="71" t="str">
        <f>IFERROR(__xludf.DUMMYFUNCTION("""COMPUTED_VALUE"""),"https://www.sec.gov/cgi-bin/browse-edgar?CIK=1809987")</f>
        <v>https://www.sec.gov/cgi-bin/browse-edgar?CIK=1809987</v>
      </c>
      <c r="V339" s="72" t="str">
        <f>IFERROR(__xludf.DUMMYFUNCTION("""COMPUTED_VALUE"""),"   $500M+ Trust Optionable    Well-known Sponsor  Top Tier UW ")</f>
        <v>   $500M+ Trust Optionable    Well-known Sponsor  Top Tier UW </v>
      </c>
      <c r="W339" s="73"/>
      <c r="X339" s="74"/>
      <c r="Y339" s="75"/>
      <c r="Z339" s="60"/>
      <c r="AA339" s="60"/>
      <c r="AB339" s="60"/>
      <c r="AC339" s="60"/>
      <c r="AD339" s="73"/>
      <c r="AE339" s="73"/>
      <c r="AF339" s="76"/>
      <c r="AG339" s="60" t="str">
        <f>IFERROR(__xludf.DUMMYFUNCTION("""COMPUTED_VALUE"""),"")</f>
        <v/>
      </c>
    </row>
    <row r="340">
      <c r="A340" s="54" t="str">
        <f>IFERROR(__xludf.DUMMYFUNCTION("""COMPUTED_VALUE"""),"GSAQ")</f>
        <v>GSAQ</v>
      </c>
      <c r="B340" s="55" t="str">
        <f>IFERROR(__xludf.DUMMYFUNCTION("""COMPUTED_VALUE"""),"Global Synergy Acquisition Corp.")</f>
        <v>Global Synergy Acquisition Corp.</v>
      </c>
      <c r="C340" s="56" t="str">
        <f>IFERROR(__xludf.DUMMYFUNCTION("""COMPUTED_VALUE"""),"Searching")</f>
        <v>Searching</v>
      </c>
      <c r="D340" s="57" t="str">
        <f>IFERROR(__xludf.DUMMYFUNCTION("""COMPUTED_VALUE"""),"Tech Services, IT Enabled Services")</f>
        <v>Tech Services, IT Enabled Services</v>
      </c>
      <c r="E340" s="58"/>
      <c r="F340" s="59"/>
      <c r="G340" s="60">
        <f>IFERROR(__xludf.DUMMYFUNCTION("""COMPUTED_VALUE"""),2.5875E8)</f>
        <v>258750000</v>
      </c>
      <c r="H340" s="60">
        <f>IFERROR(__xludf.DUMMYFUNCTION("""COMPUTED_VALUE"""),2.53575E8)</f>
        <v>253575000</v>
      </c>
      <c r="I340" s="61">
        <f>IFERROR(__xludf.DUMMYFUNCTION("""COMPUTED_VALUE"""),9.8)</f>
        <v>9.8</v>
      </c>
      <c r="J340" s="62">
        <f>IFERROR(__xludf.DUMMYFUNCTION("""COMPUTED_VALUE"""),-0.00508)</f>
        <v>-0.00508</v>
      </c>
      <c r="K340" s="59">
        <f>IFERROR(__xludf.DUMMYFUNCTION("""COMPUTED_VALUE"""),10.21)</f>
        <v>10.21</v>
      </c>
      <c r="L340" s="63">
        <f>IFERROR(__xludf.DUMMYFUNCTION("""COMPUTED_VALUE"""),0.8499)</f>
        <v>0.8499</v>
      </c>
      <c r="M340" s="64" t="str">
        <f>IFERROR(__xludf.DUMMYFUNCTION("""COMPUTED_VALUE"""),"U: [1/2 W]; W: [1:1, $11.5]")</f>
        <v>U: [1/2 W]; W: [1:1, $11.5]</v>
      </c>
      <c r="N340" s="65" t="str">
        <f>IFERROR(__xludf.DUMMYFUNCTION("""COMPUTED_VALUE"""),"")</f>
        <v/>
      </c>
      <c r="O340" s="66">
        <f>IFERROR(__xludf.DUMMYFUNCTION("""COMPUTED_VALUE"""),0.0)</f>
        <v>0</v>
      </c>
      <c r="P340" s="67">
        <f>IFERROR(__xludf.DUMMYFUNCTION("""COMPUTED_VALUE"""),44204.0)</f>
        <v>44204</v>
      </c>
      <c r="Q340" s="68">
        <f>IFERROR(__xludf.DUMMYFUNCTION("""COMPUTED_VALUE"""),258.75)</f>
        <v>258.75</v>
      </c>
      <c r="R340" s="69" t="str">
        <f>IFERROR(__xludf.DUMMYFUNCTION("""COMPUTED_VALUE"""),"Credit Suisse, JP Morgan")</f>
        <v>Credit Suisse, JP Morgan</v>
      </c>
      <c r="S340" s="64">
        <f>IFERROR(__xludf.DUMMYFUNCTION("""COMPUTED_VALUE"""),44934.0)</f>
        <v>44934</v>
      </c>
      <c r="T340" s="70">
        <f>IFERROR(__xludf.DUMMYFUNCTION("""COMPUTED_VALUE"""),0.12602739726027398)</f>
        <v>0.1260273973</v>
      </c>
      <c r="U340" s="71" t="str">
        <f>IFERROR(__xludf.DUMMYFUNCTION("""COMPUTED_VALUE"""),"https://www.sec.gov/cgi-bin/browse-edgar?CIK=1823707")</f>
        <v>https://www.sec.gov/cgi-bin/browse-edgar?CIK=1823707</v>
      </c>
      <c r="V340" s="72" t="str">
        <f>IFERROR(__xludf.DUMMYFUNCTION("""COMPUTED_VALUE""")," Trading Below $10 (Common)          Top Tier UW ")</f>
        <v> Trading Below $10 (Common)          Top Tier UW </v>
      </c>
      <c r="W340" s="73"/>
      <c r="X340" s="74"/>
      <c r="Y340" s="75"/>
      <c r="Z340" s="60"/>
      <c r="AA340" s="60"/>
      <c r="AB340" s="60"/>
      <c r="AC340" s="60"/>
      <c r="AD340" s="73"/>
      <c r="AE340" s="73"/>
      <c r="AF340" s="76"/>
      <c r="AG340" s="60" t="str">
        <f>IFERROR(__xludf.DUMMYFUNCTION("""COMPUTED_VALUE"""),"")</f>
        <v/>
      </c>
    </row>
    <row r="341">
      <c r="A341" s="54" t="str">
        <f>IFERROR(__xludf.DUMMYFUNCTION("""COMPUTED_VALUE"""),"GSEV")</f>
        <v>GSEV</v>
      </c>
      <c r="B341" s="55" t="str">
        <f>IFERROR(__xludf.DUMMYFUNCTION("""COMPUTED_VALUE"""),"Gores Holdings VII, Inc.")</f>
        <v>Gores Holdings VII, Inc.</v>
      </c>
      <c r="C341" s="56" t="str">
        <f>IFERROR(__xludf.DUMMYFUNCTION("""COMPUTED_VALUE"""),"Searching (Pre Unit Split)")</f>
        <v>Searching (Pre Unit Split)</v>
      </c>
      <c r="D341" s="57"/>
      <c r="E341" s="58"/>
      <c r="F341" s="59" t="str">
        <f>IFERROR(__xludf.DUMMYFUNCTION("""COMPUTED_VALUE"""),"Alec Gores (Founder of The Gores Group)")</f>
        <v>Alec Gores (Founder of The Gores Group)</v>
      </c>
      <c r="G341" s="60">
        <f>IFERROR(__xludf.DUMMYFUNCTION("""COMPUTED_VALUE"""),5.5E8)</f>
        <v>550000000</v>
      </c>
      <c r="H341" s="60" t="str">
        <f>IFERROR(__xludf.DUMMYFUNCTION("""COMPUTED_VALUE""")," ")</f>
        <v> </v>
      </c>
      <c r="I341" s="61" t="str">
        <f>IFERROR(__xludf.DUMMYFUNCTION("""COMPUTED_VALUE""")," ")</f>
        <v> </v>
      </c>
      <c r="J341" s="62" t="str">
        <f>IFERROR(__xludf.DUMMYFUNCTION("""COMPUTED_VALUE""")," ")</f>
        <v> </v>
      </c>
      <c r="K341" s="59">
        <f>IFERROR(__xludf.DUMMYFUNCTION("""COMPUTED_VALUE"""),10.15)</f>
        <v>10.15</v>
      </c>
      <c r="L341" s="63" t="str">
        <f>IFERROR(__xludf.DUMMYFUNCTION("""COMPUTED_VALUE""")," ")</f>
        <v> </v>
      </c>
      <c r="M341" s="64" t="str">
        <f>IFERROR(__xludf.DUMMYFUNCTION("""COMPUTED_VALUE"""),"U: [1/8 W]; W: [1:1, $11.5]")</f>
        <v>U: [1/8 W]; W: [1:1, $11.5]</v>
      </c>
      <c r="N341" s="65">
        <f>IFERROR(__xludf.DUMMYFUNCTION("""COMPUTED_VALUE"""),44302.0)</f>
        <v>44302</v>
      </c>
      <c r="O341" s="66" t="str">
        <f>IFERROR(__xludf.DUMMYFUNCTION("""COMPUTED_VALUE"""),"")</f>
        <v/>
      </c>
      <c r="P341" s="67">
        <f>IFERROR(__xludf.DUMMYFUNCTION("""COMPUTED_VALUE"""),44250.0)</f>
        <v>44250</v>
      </c>
      <c r="Q341" s="68">
        <f>IFERROR(__xludf.DUMMYFUNCTION("""COMPUTED_VALUE"""),550.0)</f>
        <v>550</v>
      </c>
      <c r="R341" s="69" t="str">
        <f>IFERROR(__xludf.DUMMYFUNCTION("""COMPUTED_VALUE"""),"Deutsche Bank, Morgan Stanley")</f>
        <v>Deutsche Bank, Morgan Stanley</v>
      </c>
      <c r="S341" s="64">
        <f>IFERROR(__xludf.DUMMYFUNCTION("""COMPUTED_VALUE"""),44980.0)</f>
        <v>44980</v>
      </c>
      <c r="T341" s="70">
        <f>IFERROR(__xludf.DUMMYFUNCTION("""COMPUTED_VALUE"""),0.06301369863013699)</f>
        <v>0.06301369863</v>
      </c>
      <c r="U341" s="71" t="str">
        <f>IFERROR(__xludf.DUMMYFUNCTION("""COMPUTED_VALUE"""),"https://www.sec.gov/cgi-bin/browse-edgar?CIK=1828096")</f>
        <v>https://www.sec.gov/cgi-bin/browse-edgar?CIK=1828096</v>
      </c>
      <c r="V341" s="72" t="str">
        <f>IFERROR(__xludf.DUMMYFUNCTION("""COMPUTED_VALUE"""),"   $500M+ Trust     Well-known Sponsor Serial Sponsor Top Tier UW ")</f>
        <v>   $500M+ Trust     Well-known Sponsor Serial Sponsor Top Tier UW </v>
      </c>
      <c r="W341" s="73"/>
      <c r="X341" s="74"/>
      <c r="Y341" s="75"/>
      <c r="Z341" s="60"/>
      <c r="AA341" s="60"/>
      <c r="AB341" s="60"/>
      <c r="AC341" s="60"/>
      <c r="AD341" s="73"/>
      <c r="AE341" s="73"/>
      <c r="AF341" s="76"/>
      <c r="AG341" s="60" t="str">
        <f>IFERROR(__xludf.DUMMYFUNCTION("""COMPUTED_VALUE"""),"")</f>
        <v/>
      </c>
    </row>
    <row r="342">
      <c r="A342" s="54" t="str">
        <f>IFERROR(__xludf.DUMMYFUNCTION("""COMPUTED_VALUE"""),"GSQD")</f>
        <v>GSQD</v>
      </c>
      <c r="B342" s="55" t="str">
        <f>IFERROR(__xludf.DUMMYFUNCTION("""COMPUTED_VALUE"""),"G Squared Ascend I Inc.")</f>
        <v>G Squared Ascend I Inc.</v>
      </c>
      <c r="C342" s="56" t="str">
        <f>IFERROR(__xludf.DUMMYFUNCTION("""COMPUTED_VALUE"""),"Searching")</f>
        <v>Searching</v>
      </c>
      <c r="D342" s="77" t="str">
        <f>IFERROR(__xludf.DUMMYFUNCTION("""COMPUTED_VALUE"""),"Tech, SaaS, Online Marketplaces, Mobility 2.0/ Logistics, Fintech, Insurtech, New Age Media &amp; Sustainability")</f>
        <v>Tech, SaaS, Online Marketplaces, Mobility 2.0/ Logistics, Fintech, Insurtech, New Age Media &amp; Sustainability</v>
      </c>
      <c r="E342" s="58"/>
      <c r="F342" s="59" t="str">
        <f>IFERROR(__xludf.DUMMYFUNCTION("""COMPUTED_VALUE"""),"Thomas Evans (Fmr CEO, Bankrate; Director, Angie’s Home Services, Shutterstock), Lauri Shanahan (Fmr Chief Legal/Administrative Officer, Gap), Steve Papa (Founder/CEO, Parallel Wireless; Founder/CEO, Endeca)")</f>
        <v>Thomas Evans (Fmr CEO, Bankrate; Director, Angie’s Home Services, Shutterstock), Lauri Shanahan (Fmr Chief Legal/Administrative Officer, Gap), Steve Papa (Founder/CEO, Parallel Wireless; Founder/CEO, Endeca)</v>
      </c>
      <c r="G342" s="60">
        <f>IFERROR(__xludf.DUMMYFUNCTION("""COMPUTED_VALUE"""),3.45E8)</f>
        <v>345000000</v>
      </c>
      <c r="H342" s="60"/>
      <c r="I342" s="61">
        <f>IFERROR(__xludf.DUMMYFUNCTION("""COMPUTED_VALUE"""),9.89)</f>
        <v>9.89</v>
      </c>
      <c r="J342" s="62">
        <f>IFERROR(__xludf.DUMMYFUNCTION("""COMPUTED_VALUE"""),0.00203)</f>
        <v>0.00203</v>
      </c>
      <c r="K342" s="59">
        <f>IFERROR(__xludf.DUMMYFUNCTION("""COMPUTED_VALUE"""),10.12)</f>
        <v>10.12</v>
      </c>
      <c r="L342" s="63">
        <f>IFERROR(__xludf.DUMMYFUNCTION("""COMPUTED_VALUE"""),1.05)</f>
        <v>1.05</v>
      </c>
      <c r="M342" s="64" t="str">
        <f>IFERROR(__xludf.DUMMYFUNCTION("""COMPUTED_VALUE"""),"U: [1/5 W]; W: [1:1, $11.5]")</f>
        <v>U: [1/5 W]; W: [1:1, $11.5]</v>
      </c>
      <c r="N342" s="65" t="str">
        <f>IFERROR(__xludf.DUMMYFUNCTION("""COMPUTED_VALUE"""),"")</f>
        <v/>
      </c>
      <c r="O342" s="66">
        <f>IFERROR(__xludf.DUMMYFUNCTION("""COMPUTED_VALUE"""),0.0)</f>
        <v>0</v>
      </c>
      <c r="P342" s="67">
        <f>IFERROR(__xludf.DUMMYFUNCTION("""COMPUTED_VALUE"""),44231.0)</f>
        <v>44231</v>
      </c>
      <c r="Q342" s="68">
        <f>IFERROR(__xludf.DUMMYFUNCTION("""COMPUTED_VALUE"""),345.0)</f>
        <v>345</v>
      </c>
      <c r="R342" s="69" t="str">
        <f>IFERROR(__xludf.DUMMYFUNCTION("""COMPUTED_VALUE"""),"UBS")</f>
        <v>UBS</v>
      </c>
      <c r="S342" s="64">
        <f>IFERROR(__xludf.DUMMYFUNCTION("""COMPUTED_VALUE"""),44961.0)</f>
        <v>44961</v>
      </c>
      <c r="T342" s="70">
        <f>IFERROR(__xludf.DUMMYFUNCTION("""COMPUTED_VALUE"""),0.08904109589041095)</f>
        <v>0.08904109589</v>
      </c>
      <c r="U342" s="71" t="str">
        <f>IFERROR(__xludf.DUMMYFUNCTION("""COMPUTED_VALUE"""),"https://www.sec.gov/cgi-bin/browse-edgar?CIK=1837207")</f>
        <v>https://www.sec.gov/cgi-bin/browse-edgar?CIK=1837207</v>
      </c>
      <c r="V342" s="72" t="str">
        <f>IFERROR(__xludf.DUMMYFUNCTION("""COMPUTED_VALUE"""),"Venture Capital Trading Below $10 (Common)           ")</f>
        <v>Venture Capital Trading Below $10 (Common)           </v>
      </c>
      <c r="W342" s="73"/>
      <c r="X342" s="74"/>
      <c r="Y342" s="75"/>
      <c r="Z342" s="60"/>
      <c r="AA342" s="60"/>
      <c r="AB342" s="60"/>
      <c r="AC342" s="60"/>
      <c r="AD342" s="73"/>
      <c r="AE342" s="73"/>
      <c r="AF342" s="76"/>
      <c r="AG342" s="60" t="str">
        <f>IFERROR(__xludf.DUMMYFUNCTION("""COMPUTED_VALUE"""),"")</f>
        <v/>
      </c>
    </row>
    <row r="343">
      <c r="A343" s="54" t="str">
        <f>IFERROR(__xludf.DUMMYFUNCTION("""COMPUTED_VALUE"""),"GTOO")</f>
        <v>GTOO</v>
      </c>
      <c r="B343" s="55" t="str">
        <f>IFERROR(__xludf.DUMMYFUNCTION("""COMPUTED_VALUE"""),"Graf Acquisition Corp. II")</f>
        <v>Graf Acquisition Corp. II</v>
      </c>
      <c r="C343" s="56" t="str">
        <f>IFERROR(__xludf.DUMMYFUNCTION("""COMPUTED_VALUE"""),"Pre IPO")</f>
        <v>Pre IPO</v>
      </c>
      <c r="D343" s="57" t="str">
        <f>IFERROR(__xludf.DUMMYFUNCTION("""COMPUTED_VALUE"""),"Industrial")</f>
        <v>Industrial</v>
      </c>
      <c r="E343" s="58"/>
      <c r="F343" s="59" t="str">
        <f>IFERROR(__xludf.DUMMYFUNCTION("""COMPUTED_VALUE"""),"James Graf (Director, Veoldyne Lidar; Fmr CEO, GRAF)")</f>
        <v>James Graf (Director, Veoldyne Lidar; Fmr CEO, GRAF)</v>
      </c>
      <c r="G343" s="60">
        <f>IFERROR(__xludf.DUMMYFUNCTION("""COMPUTED_VALUE"""),2.25E8)</f>
        <v>225000000</v>
      </c>
      <c r="H343" s="60" t="str">
        <f>IFERROR(__xludf.DUMMYFUNCTION("""COMPUTED_VALUE""")," ")</f>
        <v> </v>
      </c>
      <c r="I343" s="61" t="str">
        <f>IFERROR(__xludf.DUMMYFUNCTION("""COMPUTED_VALUE""")," ")</f>
        <v> </v>
      </c>
      <c r="J343" s="62" t="str">
        <f>IFERROR(__xludf.DUMMYFUNCTION("""COMPUTED_VALUE""")," ")</f>
        <v> </v>
      </c>
      <c r="K343" s="59" t="str">
        <f>IFERROR(__xludf.DUMMYFUNCTION("""COMPUTED_VALUE""")," ")</f>
        <v> </v>
      </c>
      <c r="L343" s="63" t="str">
        <f>IFERROR(__xludf.DUMMYFUNCTION("""COMPUTED_VALUE""")," ")</f>
        <v> </v>
      </c>
      <c r="M343" s="64" t="str">
        <f>IFERROR(__xludf.DUMMYFUNCTION("""COMPUTED_VALUE"""),"U: [1/3 W]; W: [1:1, $11.5]")</f>
        <v>U: [1/3 W]; W: [1:1, $11.5]</v>
      </c>
      <c r="N343" s="65" t="str">
        <f>IFERROR(__xludf.DUMMYFUNCTION("""COMPUTED_VALUE"""),"")</f>
        <v/>
      </c>
      <c r="O343" s="66" t="str">
        <f>IFERROR(__xludf.DUMMYFUNCTION("""COMPUTED_VALUE"""),"")</f>
        <v/>
      </c>
      <c r="P343" s="67"/>
      <c r="Q343" s="68">
        <f>IFERROR(__xludf.DUMMYFUNCTION("""COMPUTED_VALUE"""),225.0)</f>
        <v>225</v>
      </c>
      <c r="R343" s="85" t="str">
        <f>IFERROR(__xludf.DUMMYFUNCTION("""COMPUTED_VALUE"""),"Oppenheimer &amp; Co.")</f>
        <v>Oppenheimer &amp; Co.</v>
      </c>
      <c r="S343" s="64">
        <f>IFERROR(__xludf.DUMMYFUNCTION("""COMPUTED_VALUE"""),45086.0)</f>
        <v>45086</v>
      </c>
      <c r="T343" s="70" t="str">
        <f>IFERROR(__xludf.DUMMYFUNCTION("""COMPUTED_VALUE"""),"")</f>
        <v/>
      </c>
      <c r="U343" s="71" t="str">
        <f>IFERROR(__xludf.DUMMYFUNCTION("""COMPUTED_VALUE"""),"https://www.sec.gov/cgi-bin/browse-edgar?CIK=1817712")</f>
        <v>https://www.sec.gov/cgi-bin/browse-edgar?CIK=1817712</v>
      </c>
      <c r="V343" s="72" t="str">
        <f>IFERROR(__xludf.DUMMYFUNCTION("""COMPUTED_VALUE"""),"          Serial Sponsor  ")</f>
        <v>          Serial Sponsor  </v>
      </c>
      <c r="W343" s="73"/>
      <c r="X343" s="74"/>
      <c r="Y343" s="75"/>
      <c r="Z343" s="60"/>
      <c r="AA343" s="60"/>
      <c r="AB343" s="60"/>
      <c r="AC343" s="60"/>
      <c r="AD343" s="73"/>
      <c r="AE343" s="73"/>
      <c r="AF343" s="76"/>
      <c r="AG343" s="60"/>
    </row>
    <row r="344">
      <c r="A344" s="54" t="str">
        <f>IFERROR(__xludf.DUMMYFUNCTION("""COMPUTED_VALUE"""),"GTPA")</f>
        <v>GTPA</v>
      </c>
      <c r="B344" s="55" t="str">
        <f>IFERROR(__xludf.DUMMYFUNCTION("""COMPUTED_VALUE"""),"Gores Technology Partners, Inc.")</f>
        <v>Gores Technology Partners, Inc.</v>
      </c>
      <c r="C344" s="56" t="str">
        <f>IFERROR(__xludf.DUMMYFUNCTION("""COMPUTED_VALUE"""),"Searching (Pre Unit Split)")</f>
        <v>Searching (Pre Unit Split)</v>
      </c>
      <c r="D344" s="77" t="str">
        <f>IFERROR(__xludf.DUMMYFUNCTION("""COMPUTED_VALUE"""),"Tech: consumer internet, enterprise software, fintech, digital health, proptech, gaming, agtech, &amp; logistics")</f>
        <v>Tech: consumer internet, enterprise software, fintech, digital health, proptech, gaming, agtech, &amp; logistics</v>
      </c>
      <c r="E344" s="58"/>
      <c r="F344" s="59" t="str">
        <f>IFERROR(__xludf.DUMMYFUNCTION("""COMPUTED_VALUE"""),"Alec Gores (Founder of The Gores Group), Manik Gupta (Fmr Chief Product Officer, Uber), Muhammad Shahzad (Fmr CFO, The Honest Company)")</f>
        <v>Alec Gores (Founder of The Gores Group), Manik Gupta (Fmr Chief Product Officer, Uber), Muhammad Shahzad (Fmr CFO, The Honest Company)</v>
      </c>
      <c r="G344" s="60">
        <f>IFERROR(__xludf.DUMMYFUNCTION("""COMPUTED_VALUE"""),2.75E8)</f>
        <v>275000000</v>
      </c>
      <c r="H344" s="60" t="str">
        <f>IFERROR(__xludf.DUMMYFUNCTION("""COMPUTED_VALUE""")," ")</f>
        <v> </v>
      </c>
      <c r="I344" s="61" t="str">
        <f>IFERROR(__xludf.DUMMYFUNCTION("""COMPUTED_VALUE""")," ")</f>
        <v> </v>
      </c>
      <c r="J344" s="62" t="str">
        <f>IFERROR(__xludf.DUMMYFUNCTION("""COMPUTED_VALUE""")," ")</f>
        <v> </v>
      </c>
      <c r="K344" s="59">
        <f>IFERROR(__xludf.DUMMYFUNCTION("""COMPUTED_VALUE"""),10.18)</f>
        <v>10.18</v>
      </c>
      <c r="L344" s="63" t="str">
        <f>IFERROR(__xludf.DUMMYFUNCTION("""COMPUTED_VALUE""")," ")</f>
        <v> </v>
      </c>
      <c r="M344" s="64" t="str">
        <f>IFERROR(__xludf.DUMMYFUNCTION("""COMPUTED_VALUE"""),"U: [1/5 W]; W: [1:1, $11.5]")</f>
        <v>U: [1/5 W]; W: [1:1, $11.5]</v>
      </c>
      <c r="N344" s="65">
        <f>IFERROR(__xludf.DUMMYFUNCTION("""COMPUTED_VALUE"""),44318.0)</f>
        <v>44318</v>
      </c>
      <c r="O344" s="66" t="str">
        <f>IFERROR(__xludf.DUMMYFUNCTION("""COMPUTED_VALUE"""),"")</f>
        <v/>
      </c>
      <c r="P344" s="67">
        <f>IFERROR(__xludf.DUMMYFUNCTION("""COMPUTED_VALUE"""),44266.0)</f>
        <v>44266</v>
      </c>
      <c r="Q344" s="68">
        <f>IFERROR(__xludf.DUMMYFUNCTION("""COMPUTED_VALUE"""),275.0)</f>
        <v>275</v>
      </c>
      <c r="R344" s="85" t="str">
        <f>IFERROR(__xludf.DUMMYFUNCTION("""COMPUTED_VALUE"""),"Deutsche Bank Securities, Morgan Stanley, Citigroup")</f>
        <v>Deutsche Bank Securities, Morgan Stanley, Citigroup</v>
      </c>
      <c r="S344" s="64">
        <f>IFERROR(__xludf.DUMMYFUNCTION("""COMPUTED_VALUE"""),44996.0)</f>
        <v>44996</v>
      </c>
      <c r="T344" s="70">
        <f>IFERROR(__xludf.DUMMYFUNCTION("""COMPUTED_VALUE"""),0.0410958904109589)</f>
        <v>0.04109589041</v>
      </c>
      <c r="U344" s="71" t="str">
        <f>IFERROR(__xludf.DUMMYFUNCTION("""COMPUTED_VALUE"""),"https://www.sec.gov/cgi-bin/browse-edgar?CIK=1837105")</f>
        <v>https://www.sec.gov/cgi-bin/browse-edgar?CIK=1837105</v>
      </c>
      <c r="V344" s="72" t="str">
        <f>IFERROR(__xludf.DUMMYFUNCTION("""COMPUTED_VALUE"""),"         Well-known Sponsor Serial Sponsor Top Tier UW ")</f>
        <v>         Well-known Sponsor Serial Sponsor Top Tier UW </v>
      </c>
      <c r="W344" s="73"/>
      <c r="X344" s="74"/>
      <c r="Y344" s="75"/>
      <c r="Z344" s="60"/>
      <c r="AA344" s="60"/>
      <c r="AB344" s="60"/>
      <c r="AC344" s="60"/>
      <c r="AD344" s="73"/>
      <c r="AE344" s="73"/>
      <c r="AF344" s="76"/>
      <c r="AG344" s="60" t="str">
        <f>IFERROR(__xludf.DUMMYFUNCTION("""COMPUTED_VALUE"""),"")</f>
        <v/>
      </c>
    </row>
    <row r="345">
      <c r="A345" s="54" t="str">
        <f>IFERROR(__xludf.DUMMYFUNCTION("""COMPUTED_VALUE"""),"GTPB")</f>
        <v>GTPB</v>
      </c>
      <c r="B345" s="55" t="str">
        <f>IFERROR(__xludf.DUMMYFUNCTION("""COMPUTED_VALUE"""),"Gores Technology Partners II, Inc.")</f>
        <v>Gores Technology Partners II, Inc.</v>
      </c>
      <c r="C345" s="56" t="str">
        <f>IFERROR(__xludf.DUMMYFUNCTION("""COMPUTED_VALUE"""),"Searching (Pre Unit Split)")</f>
        <v>Searching (Pre Unit Split)</v>
      </c>
      <c r="D345" s="77" t="str">
        <f>IFERROR(__xludf.DUMMYFUNCTION("""COMPUTED_VALUE"""),"Tech: consumer internet, enterprise software, fintech, digital health, proptech, gaming, agtech, &amp; logistics")</f>
        <v>Tech: consumer internet, enterprise software, fintech, digital health, proptech, gaming, agtech, &amp; logistics</v>
      </c>
      <c r="E345" s="58"/>
      <c r="F345" s="59" t="str">
        <f>IFERROR(__xludf.DUMMYFUNCTION("""COMPUTED_VALUE"""),"Alec Gores (Founder of The Gores Group)")</f>
        <v>Alec Gores (Founder of The Gores Group)</v>
      </c>
      <c r="G345" s="60">
        <f>IFERROR(__xludf.DUMMYFUNCTION("""COMPUTED_VALUE"""),4.6E8)</f>
        <v>460000000</v>
      </c>
      <c r="H345" s="60" t="str">
        <f>IFERROR(__xludf.DUMMYFUNCTION("""COMPUTED_VALUE""")," ")</f>
        <v> </v>
      </c>
      <c r="I345" s="61" t="str">
        <f>IFERROR(__xludf.DUMMYFUNCTION("""COMPUTED_VALUE""")," ")</f>
        <v> </v>
      </c>
      <c r="J345" s="62" t="str">
        <f>IFERROR(__xludf.DUMMYFUNCTION("""COMPUTED_VALUE""")," ")</f>
        <v> </v>
      </c>
      <c r="K345" s="59">
        <f>IFERROR(__xludf.DUMMYFUNCTION("""COMPUTED_VALUE"""),10.15)</f>
        <v>10.15</v>
      </c>
      <c r="L345" s="63" t="str">
        <f>IFERROR(__xludf.DUMMYFUNCTION("""COMPUTED_VALUE""")," ")</f>
        <v> </v>
      </c>
      <c r="M345" s="64" t="str">
        <f>IFERROR(__xludf.DUMMYFUNCTION("""COMPUTED_VALUE"""),"U: [1/5 W]; W: [1:1, $11.5]")</f>
        <v>U: [1/5 W]; W: [1:1, $11.5]</v>
      </c>
      <c r="N345" s="65">
        <f>IFERROR(__xludf.DUMMYFUNCTION("""COMPUTED_VALUE"""),44318.0)</f>
        <v>44318</v>
      </c>
      <c r="O345" s="66" t="str">
        <f>IFERROR(__xludf.DUMMYFUNCTION("""COMPUTED_VALUE"""),"")</f>
        <v/>
      </c>
      <c r="P345" s="67">
        <f>IFERROR(__xludf.DUMMYFUNCTION("""COMPUTED_VALUE"""),44266.0)</f>
        <v>44266</v>
      </c>
      <c r="Q345" s="68">
        <f>IFERROR(__xludf.DUMMYFUNCTION("""COMPUTED_VALUE"""),460.0)</f>
        <v>460</v>
      </c>
      <c r="R345" s="85" t="str">
        <f>IFERROR(__xludf.DUMMYFUNCTION("""COMPUTED_VALUE"""),"Deutsche Bank Securities, Morgan Stanley, Credit Suisse")</f>
        <v>Deutsche Bank Securities, Morgan Stanley, Credit Suisse</v>
      </c>
      <c r="S345" s="64">
        <f>IFERROR(__xludf.DUMMYFUNCTION("""COMPUTED_VALUE"""),44996.0)</f>
        <v>44996</v>
      </c>
      <c r="T345" s="70">
        <f>IFERROR(__xludf.DUMMYFUNCTION("""COMPUTED_VALUE"""),0.0410958904109589)</f>
        <v>0.04109589041</v>
      </c>
      <c r="U345" s="71" t="str">
        <f>IFERROR(__xludf.DUMMYFUNCTION("""COMPUTED_VALUE"""),"https://www.sec.gov/cgi-bin/browse-edgar?CIK=1842046")</f>
        <v>https://www.sec.gov/cgi-bin/browse-edgar?CIK=1842046</v>
      </c>
      <c r="V345" s="72" t="str">
        <f>IFERROR(__xludf.DUMMYFUNCTION("""COMPUTED_VALUE"""),"         Well-known Sponsor Serial Sponsor Top Tier UW ")</f>
        <v>         Well-known Sponsor Serial Sponsor Top Tier UW </v>
      </c>
      <c r="W345" s="73"/>
      <c r="X345" s="74"/>
      <c r="Y345" s="75"/>
      <c r="Z345" s="60"/>
      <c r="AA345" s="60"/>
      <c r="AB345" s="60"/>
      <c r="AC345" s="60"/>
      <c r="AD345" s="73"/>
      <c r="AE345" s="73"/>
      <c r="AF345" s="76"/>
      <c r="AG345" s="60" t="str">
        <f>IFERROR(__xludf.DUMMYFUNCTION("""COMPUTED_VALUE"""),"")</f>
        <v/>
      </c>
    </row>
    <row r="346">
      <c r="A346" s="54" t="str">
        <f>IFERROR(__xludf.DUMMYFUNCTION("""COMPUTED_VALUE"""),"GWAC")</f>
        <v>GWAC</v>
      </c>
      <c r="B346" s="55" t="str">
        <f>IFERROR(__xludf.DUMMYFUNCTION("""COMPUTED_VALUE"""),"Good Works Acquisition Corp.")</f>
        <v>Good Works Acquisition Corp.</v>
      </c>
      <c r="C346" s="56" t="str">
        <f>IFERROR(__xludf.DUMMYFUNCTION("""COMPUTED_VALUE"""),"Definitive Agreement")</f>
        <v>Definitive Agreement</v>
      </c>
      <c r="D346" s="57" t="str">
        <f>IFERROR(__xludf.DUMMYFUNCTION("""COMPUTED_VALUE"""),"Financially Distressed")</f>
        <v>Financially Distressed</v>
      </c>
      <c r="E346" s="58" t="str">
        <f>IFERROR(__xludf.DUMMYFUNCTION("""COMPUTED_VALUE"""),"Cipher Mining [DA: 03/05/21]")</f>
        <v>Cipher Mining [DA: 03/05/21]</v>
      </c>
      <c r="F346" s="59" t="str">
        <f>IFERROR(__xludf.DUMMYFUNCTION("""COMPUTED_VALUE"""),"Fred Zeidman (Chairman, Gordian Group), Douglas Wurth (Former CEO of Alt Investments, JP Morgan)")</f>
        <v>Fred Zeidman (Chairman, Gordian Group), Douglas Wurth (Former CEO of Alt Investments, JP Morgan)</v>
      </c>
      <c r="G346" s="60">
        <f>IFERROR(__xludf.DUMMYFUNCTION("""COMPUTED_VALUE"""),1.70027342E8)</f>
        <v>170027342</v>
      </c>
      <c r="H346" s="60">
        <f>IFERROR(__xludf.DUMMYFUNCTION("""COMPUTED_VALUE"""),2.2208252E8)</f>
        <v>222082520</v>
      </c>
      <c r="I346" s="61">
        <f>IFERROR(__xludf.DUMMYFUNCTION("""COMPUTED_VALUE"""),10.34)</f>
        <v>10.34</v>
      </c>
      <c r="J346" s="62">
        <f>IFERROR(__xludf.DUMMYFUNCTION("""COMPUTED_VALUE"""),-0.00577)</f>
        <v>-0.00577</v>
      </c>
      <c r="K346" s="59" t="str">
        <f>IFERROR(__xludf.DUMMYFUNCTION("""COMPUTED_VALUE""")," ")</f>
        <v> </v>
      </c>
      <c r="L346" s="63">
        <f>IFERROR(__xludf.DUMMYFUNCTION("""COMPUTED_VALUE"""),1.82)</f>
        <v>1.82</v>
      </c>
      <c r="M346" s="64" t="str">
        <f>IFERROR(__xludf.DUMMYFUNCTION("""COMPUTED_VALUE"""),"U: [1/2 W]; W: [1:1, $11.5]")</f>
        <v>U: [1/2 W]; W: [1:1, $11.5]</v>
      </c>
      <c r="N346" s="65" t="str">
        <f>IFERROR(__xludf.DUMMYFUNCTION("""COMPUTED_VALUE"""),"")</f>
        <v/>
      </c>
      <c r="O346" s="66">
        <f>IFERROR(__xludf.DUMMYFUNCTION("""COMPUTED_VALUE"""),0.0)</f>
        <v>0</v>
      </c>
      <c r="P346" s="67">
        <f>IFERROR(__xludf.DUMMYFUNCTION("""COMPUTED_VALUE"""),44124.0)</f>
        <v>44124</v>
      </c>
      <c r="Q346" s="68">
        <f>IFERROR(__xludf.DUMMYFUNCTION("""COMPUTED_VALUE"""),170.0)</f>
        <v>170</v>
      </c>
      <c r="R346" s="69" t="str">
        <f>IFERROR(__xludf.DUMMYFUNCTION("""COMPUTED_VALUE"""),"I-Bankers")</f>
        <v>I-Bankers</v>
      </c>
      <c r="S346" s="64">
        <f>IFERROR(__xludf.DUMMYFUNCTION("""COMPUTED_VALUE"""),44762.75)</f>
        <v>44762.75</v>
      </c>
      <c r="T346" s="70">
        <f>IFERROR(__xludf.DUMMYFUNCTION("""COMPUTED_VALUE"""),0.26927592954990215)</f>
        <v>0.2692759295</v>
      </c>
      <c r="U346" s="71" t="str">
        <f>IFERROR(__xludf.DUMMYFUNCTION("""COMPUTED_VALUE"""),"https://www.sec.gov/cgi-bin/browse-edgar?CIK=1819989")</f>
        <v>https://www.sec.gov/cgi-bin/browse-edgar?CIK=1819989</v>
      </c>
      <c r="V346" s="72" t="str">
        <f>IFERROR(__xludf.DUMMYFUNCTION("""COMPUTED_VALUE"""),"            ")</f>
        <v>            </v>
      </c>
      <c r="W346" s="73">
        <f>IFERROR(__xludf.DUMMYFUNCTION("""COMPUTED_VALUE"""),44260.0)</f>
        <v>44260</v>
      </c>
      <c r="X346" s="79">
        <f>IFERROR(__xludf.DUMMYFUNCTION("""COMPUTED_VALUE"""),4.533333333333333)</f>
        <v>4.533333333</v>
      </c>
      <c r="Y346" s="80" t="str">
        <f>IFERROR(__xludf.DUMMYFUNCTION("""COMPUTED_VALUE"""),"https://www.businesswire.com/news/home/20210305005234/en/Cipher-Mining-Inc.-a-Newly-Formed-US-based-Bitcoin-Mining-Company-to-Become-a-Publicly-Traded-Company-via-a-Merger-with-Good-Works-Acquisition-Corp")</f>
        <v>https://www.businesswire.com/news/home/20210305005234/en/Cipher-Mining-Inc.-a-Newly-Formed-US-based-Bitcoin-Mining-Company-to-Become-a-Publicly-Traded-Company-via-a-Merger-with-Good-Works-Acquisition-Corp</v>
      </c>
      <c r="Z346" s="81" t="str">
        <f>IFERROR(__xludf.DUMMYFUNCTION("""COMPUTED_VALUE"""),"https://www.sec.gov/Archives/edgar/data/1819989/000121390021013594/ea136931ex99-2_goodworks.htm")</f>
        <v>https://www.sec.gov/Archives/edgar/data/1819989/000121390021013594/ea136931ex99-2_goodworks.htm</v>
      </c>
      <c r="AA346" s="60">
        <f>IFERROR(__xludf.DUMMYFUNCTION("""COMPUTED_VALUE"""),4.25E8)</f>
        <v>425000000</v>
      </c>
      <c r="AB346" s="60">
        <f>IFERROR(__xludf.DUMMYFUNCTION("""COMPUTED_VALUE"""),2.501E9)</f>
        <v>2501000000</v>
      </c>
      <c r="AC346" s="60">
        <f>IFERROR(__xludf.DUMMYFUNCTION("""COMPUTED_VALUE"""),2.595E9)</f>
        <v>2595000000</v>
      </c>
      <c r="AD346" s="73"/>
      <c r="AE346" s="73"/>
      <c r="AF346" s="76">
        <f>IFERROR(__xludf.DUMMYFUNCTION("""COMPUTED_VALUE"""),2.501E8)</f>
        <v>250100000</v>
      </c>
      <c r="AG346" s="60">
        <f>IFERROR(__xludf.DUMMYFUNCTION("""COMPUTED_VALUE"""),2.586034E9)</f>
        <v>2586034000</v>
      </c>
    </row>
    <row r="347">
      <c r="A347" s="54" t="str">
        <f>IFERROR(__xludf.DUMMYFUNCTION("""COMPUTED_VALUE"""),"GWII")</f>
        <v>GWII</v>
      </c>
      <c r="B347" s="55" t="str">
        <f>IFERROR(__xludf.DUMMYFUNCTION("""COMPUTED_VALUE"""),"Good Works II Acquisition Corp.")</f>
        <v>Good Works II Acquisition Corp.</v>
      </c>
      <c r="C347" s="56" t="str">
        <f>IFERROR(__xludf.DUMMYFUNCTION("""COMPUTED_VALUE"""),"Pre IPO")</f>
        <v>Pre IPO</v>
      </c>
      <c r="D347" s="77" t="str">
        <f>IFERROR(__xludf.DUMMYFUNCTION("""COMPUTED_VALUE"""),"COVID-19 Disruptions, Restructuring, Tech")</f>
        <v>COVID-19 Disruptions, Restructuring, Tech</v>
      </c>
      <c r="E347" s="58"/>
      <c r="F347" s="59" t="str">
        <f>IFERROR(__xludf.DUMMYFUNCTION("""COMPUTED_VALUE"""),"Fred Zeidman (Chairman, Gordian Group), Douglas Wurth (Former CEO of Alt Investments, JP Morgan)")</f>
        <v>Fred Zeidman (Chairman, Gordian Group), Douglas Wurth (Former CEO of Alt Investments, JP Morgan)</v>
      </c>
      <c r="G347" s="60">
        <f>IFERROR(__xludf.DUMMYFUNCTION("""COMPUTED_VALUE"""),2.0E8)</f>
        <v>200000000</v>
      </c>
      <c r="H347" s="60" t="str">
        <f>IFERROR(__xludf.DUMMYFUNCTION("""COMPUTED_VALUE""")," ")</f>
        <v> </v>
      </c>
      <c r="I347" s="61" t="str">
        <f>IFERROR(__xludf.DUMMYFUNCTION("""COMPUTED_VALUE""")," ")</f>
        <v> </v>
      </c>
      <c r="J347" s="62" t="str">
        <f>IFERROR(__xludf.DUMMYFUNCTION("""COMPUTED_VALUE""")," ")</f>
        <v> </v>
      </c>
      <c r="K347" s="59" t="str">
        <f>IFERROR(__xludf.DUMMYFUNCTION("""COMPUTED_VALUE""")," ")</f>
        <v> </v>
      </c>
      <c r="L347" s="63" t="str">
        <f>IFERROR(__xludf.DUMMYFUNCTION("""COMPUTED_VALUE""")," ")</f>
        <v> </v>
      </c>
      <c r="M347" s="64" t="str">
        <f>IFERROR(__xludf.DUMMYFUNCTION("""COMPUTED_VALUE"""),"U: [1/3 W]; W: [1:1, $11.5]")</f>
        <v>U: [1/3 W]; W: [1:1, $11.5]</v>
      </c>
      <c r="N347" s="65" t="str">
        <f>IFERROR(__xludf.DUMMYFUNCTION("""COMPUTED_VALUE"""),"")</f>
        <v/>
      </c>
      <c r="O347" s="66">
        <f>IFERROR(__xludf.DUMMYFUNCTION("""COMPUTED_VALUE"""),0.0)</f>
        <v>0</v>
      </c>
      <c r="P347" s="67"/>
      <c r="Q347" s="68">
        <f>IFERROR(__xludf.DUMMYFUNCTION("""COMPUTED_VALUE"""),200.0)</f>
        <v>200</v>
      </c>
      <c r="R347" s="85" t="str">
        <f>IFERROR(__xludf.DUMMYFUNCTION("""COMPUTED_VALUE"""),"I-Bankers Securities, Inc.")</f>
        <v>I-Bankers Securities, Inc.</v>
      </c>
      <c r="S347" s="64">
        <f>IFERROR(__xludf.DUMMYFUNCTION("""COMPUTED_VALUE"""),45086.0)</f>
        <v>45086</v>
      </c>
      <c r="T347" s="70" t="str">
        <f>IFERROR(__xludf.DUMMYFUNCTION("""COMPUTED_VALUE"""),"")</f>
        <v/>
      </c>
      <c r="U347" s="71" t="str">
        <f>IFERROR(__xludf.DUMMYFUNCTION("""COMPUTED_VALUE"""),"https://www.sec.gov/cgi-bin/browse-edgar?CIK=1850487")</f>
        <v>https://www.sec.gov/cgi-bin/browse-edgar?CIK=1850487</v>
      </c>
      <c r="V347" s="72" t="str">
        <f>IFERROR(__xludf.DUMMYFUNCTION("""COMPUTED_VALUE"""),"            ")</f>
        <v>            </v>
      </c>
      <c r="W347" s="73"/>
      <c r="X347" s="74"/>
      <c r="Y347" s="75"/>
      <c r="Z347" s="60"/>
      <c r="AA347" s="60"/>
      <c r="AB347" s="60"/>
      <c r="AC347" s="60"/>
      <c r="AD347" s="73"/>
      <c r="AE347" s="73"/>
      <c r="AF347" s="76"/>
      <c r="AG347" s="60"/>
    </row>
    <row r="348">
      <c r="A348" s="54" t="str">
        <f>IFERROR(__xludf.DUMMYFUNCTION("""COMPUTED_VALUE"""),"GXGX")</f>
        <v>GXGX</v>
      </c>
      <c r="B348" s="55" t="str">
        <f>IFERROR(__xludf.DUMMYFUNCTION("""COMPUTED_VALUE"""),"GX Acquisition Corp")</f>
        <v>GX Acquisition Corp</v>
      </c>
      <c r="C348" s="56" t="str">
        <f>IFERROR(__xludf.DUMMYFUNCTION("""COMPUTED_VALUE"""),"Definitive Agreement")</f>
        <v>Definitive Agreement</v>
      </c>
      <c r="D348" s="57"/>
      <c r="E348" s="58" t="str">
        <f>IFERROR(__xludf.DUMMYFUNCTION("""COMPUTED_VALUE"""),"Cellularity [DA: 01/08/21]")</f>
        <v>Cellularity [DA: 01/08/21]</v>
      </c>
      <c r="F348" s="59"/>
      <c r="G348" s="60">
        <f>IFERROR(__xludf.DUMMYFUNCTION("""COMPUTED_VALUE"""),2.91844594E8)</f>
        <v>291844594</v>
      </c>
      <c r="H348" s="60">
        <f>IFERROR(__xludf.DUMMYFUNCTION("""COMPUTED_VALUE"""),2.906625E8)</f>
        <v>290662500</v>
      </c>
      <c r="I348" s="61">
        <f>IFERROR(__xludf.DUMMYFUNCTION("""COMPUTED_VALUE"""),10.11)</f>
        <v>10.11</v>
      </c>
      <c r="J348" s="62">
        <f>IFERROR(__xludf.DUMMYFUNCTION("""COMPUTED_VALUE"""),9.9E-4)</f>
        <v>0.00099</v>
      </c>
      <c r="K348" s="59">
        <f>IFERROR(__xludf.DUMMYFUNCTION("""COMPUTED_VALUE"""),11.0)</f>
        <v>11</v>
      </c>
      <c r="L348" s="63">
        <f>IFERROR(__xludf.DUMMYFUNCTION("""COMPUTED_VALUE"""),1.26)</f>
        <v>1.26</v>
      </c>
      <c r="M348" s="64" t="str">
        <f>IFERROR(__xludf.DUMMYFUNCTION("""COMPUTED_VALUE"""),"U: [1/2 W]; W: [1:1, $11.5]")</f>
        <v>U: [1/2 W]; W: [1:1, $11.5]</v>
      </c>
      <c r="N348" s="65" t="str">
        <f>IFERROR(__xludf.DUMMYFUNCTION("""COMPUTED_VALUE"""),"")</f>
        <v/>
      </c>
      <c r="O348" s="66">
        <f>IFERROR(__xludf.DUMMYFUNCTION("""COMPUTED_VALUE"""),0.0)</f>
        <v>0</v>
      </c>
      <c r="P348" s="67">
        <f>IFERROR(__xludf.DUMMYFUNCTION("""COMPUTED_VALUE"""),43606.0)</f>
        <v>43606</v>
      </c>
      <c r="Q348" s="68">
        <f>IFERROR(__xludf.DUMMYFUNCTION("""COMPUTED_VALUE"""),287.5)</f>
        <v>287.5</v>
      </c>
      <c r="R348" s="85" t="str">
        <f>IFERROR(__xludf.DUMMYFUNCTION("""COMPUTED_VALUE"""),"Cantor")</f>
        <v>Cantor</v>
      </c>
      <c r="S348" s="64">
        <f>IFERROR(__xludf.DUMMYFUNCTION("""COMPUTED_VALUE"""),44336.0)</f>
        <v>44336</v>
      </c>
      <c r="T348" s="70">
        <f>IFERROR(__xludf.DUMMYFUNCTION("""COMPUTED_VALUE"""),0.9452054794520548)</f>
        <v>0.9452054795</v>
      </c>
      <c r="U348" s="71" t="str">
        <f>IFERROR(__xludf.DUMMYFUNCTION("""COMPUTED_VALUE"""),"https://www.sec.gov/cgi-bin/browse-edgar?CIK=1752828")</f>
        <v>https://www.sec.gov/cgi-bin/browse-edgar?CIK=1752828</v>
      </c>
      <c r="V348" s="72" t="str">
        <f>IFERROR(__xludf.DUMMYFUNCTION("""COMPUTED_VALUE"""),"     Optionable Deadline Approaching      ")</f>
        <v>     Optionable Deadline Approaching      </v>
      </c>
      <c r="W348" s="73">
        <f>IFERROR(__xludf.DUMMYFUNCTION("""COMPUTED_VALUE"""),44204.0)</f>
        <v>44204</v>
      </c>
      <c r="X348" s="79">
        <f>IFERROR(__xludf.DUMMYFUNCTION("""COMPUTED_VALUE"""),19.933333333333334)</f>
        <v>19.93333333</v>
      </c>
      <c r="Y348" s="80" t="str">
        <f>IFERROR(__xludf.DUMMYFUNCTION("""COMPUTED_VALUE"""),"https://www.prnewswire.com/news-releases/celularity-and-gx-acquisition-corp-announce-merger-agreement-to-create-a-publicly-listed-leader-in-allogeneic-cellular-therapy-301203341.html")</f>
        <v>https://www.prnewswire.com/news-releases/celularity-and-gx-acquisition-corp-announce-merger-agreement-to-create-a-publicly-listed-leader-in-allogeneic-cellular-therapy-301203341.html</v>
      </c>
      <c r="Z348" s="81" t="str">
        <f>IFERROR(__xludf.DUMMYFUNCTION("""COMPUTED_VALUE"""),"https://www.sec.gov/Archives/edgar/data/1752828/000121390021001040/ea132952ex99-3_gxacquisit.htm")</f>
        <v>https://www.sec.gov/Archives/edgar/data/1752828/000121390021001040/ea132952ex99-3_gxacquisit.htm</v>
      </c>
      <c r="AA348" s="60">
        <f>IFERROR(__xludf.DUMMYFUNCTION("""COMPUTED_VALUE"""),8.0E7)</f>
        <v>80000000</v>
      </c>
      <c r="AB348" s="60">
        <f>IFERROR(__xludf.DUMMYFUNCTION("""COMPUTED_VALUE"""),1.668E9)</f>
        <v>1668000000</v>
      </c>
      <c r="AC348" s="60">
        <f>IFERROR(__xludf.DUMMYFUNCTION("""COMPUTED_VALUE"""),1.293E9)</f>
        <v>1293000000</v>
      </c>
      <c r="AD348" s="73"/>
      <c r="AE348" s="73"/>
      <c r="AF348" s="76">
        <f>IFERROR(__xludf.DUMMYFUNCTION("""COMPUTED_VALUE"""),1.67E8)</f>
        <v>167000000</v>
      </c>
      <c r="AG348" s="60">
        <f>IFERROR(__xludf.DUMMYFUNCTION("""COMPUTED_VALUE"""),1.68837E9)</f>
        <v>1688370000</v>
      </c>
    </row>
    <row r="349">
      <c r="A349" s="54" t="str">
        <f>IFERROR(__xludf.DUMMYFUNCTION("""COMPUTED_VALUE"""),"GXII")</f>
        <v>GXII</v>
      </c>
      <c r="B349" s="55" t="str">
        <f>IFERROR(__xludf.DUMMYFUNCTION("""COMPUTED_VALUE"""),"GX Acquisition Corp. II")</f>
        <v>GX Acquisition Corp. II</v>
      </c>
      <c r="C349" s="56" t="str">
        <f>IFERROR(__xludf.DUMMYFUNCTION("""COMPUTED_VALUE"""),"Searching (Pre Unit Split)")</f>
        <v>Searching (Pre Unit Split)</v>
      </c>
      <c r="D349" s="57"/>
      <c r="E349" s="58"/>
      <c r="F349" s="59"/>
      <c r="G349" s="60">
        <f>IFERROR(__xludf.DUMMYFUNCTION("""COMPUTED_VALUE"""),3.0E8)</f>
        <v>300000000</v>
      </c>
      <c r="H349" s="60" t="str">
        <f>IFERROR(__xludf.DUMMYFUNCTION("""COMPUTED_VALUE""")," ")</f>
        <v> </v>
      </c>
      <c r="I349" s="61" t="str">
        <f>IFERROR(__xludf.DUMMYFUNCTION("""COMPUTED_VALUE""")," ")</f>
        <v> </v>
      </c>
      <c r="J349" s="62" t="str">
        <f>IFERROR(__xludf.DUMMYFUNCTION("""COMPUTED_VALUE""")," ")</f>
        <v> </v>
      </c>
      <c r="K349" s="59">
        <f>IFERROR(__xludf.DUMMYFUNCTION("""COMPUTED_VALUE"""),10.06)</f>
        <v>10.06</v>
      </c>
      <c r="L349" s="63" t="str">
        <f>IFERROR(__xludf.DUMMYFUNCTION("""COMPUTED_VALUE""")," ")</f>
        <v> </v>
      </c>
      <c r="M349" s="64" t="str">
        <f>IFERROR(__xludf.DUMMYFUNCTION("""COMPUTED_VALUE"""),"U: [1/3 W]; W: [1:1, $11.5]")</f>
        <v>U: [1/3 W]; W: [1:1, $11.5]</v>
      </c>
      <c r="N349" s="65">
        <f>IFERROR(__xludf.DUMMYFUNCTION("""COMPUTED_VALUE"""),44324.0)</f>
        <v>44324</v>
      </c>
      <c r="O349" s="66">
        <f>IFERROR(__xludf.DUMMYFUNCTION("""COMPUTED_VALUE"""),0.0)</f>
        <v>0</v>
      </c>
      <c r="P349" s="67">
        <f>IFERROR(__xludf.DUMMYFUNCTION("""COMPUTED_VALUE"""),44272.0)</f>
        <v>44272</v>
      </c>
      <c r="Q349" s="68">
        <f>IFERROR(__xludf.DUMMYFUNCTION("""COMPUTED_VALUE"""),300.0)</f>
        <v>300</v>
      </c>
      <c r="R349" s="85" t="str">
        <f>IFERROR(__xludf.DUMMYFUNCTION("""COMPUTED_VALUE"""),"Cantor Fitzgerald &amp; Co")</f>
        <v>Cantor Fitzgerald &amp; Co</v>
      </c>
      <c r="S349" s="64">
        <f>IFERROR(__xludf.DUMMYFUNCTION("""COMPUTED_VALUE"""),45002.0)</f>
        <v>45002</v>
      </c>
      <c r="T349" s="70">
        <f>IFERROR(__xludf.DUMMYFUNCTION("""COMPUTED_VALUE"""),0.03287671232876712)</f>
        <v>0.03287671233</v>
      </c>
      <c r="U349" s="71" t="str">
        <f>IFERROR(__xludf.DUMMYFUNCTION("""COMPUTED_VALUE"""),"https://www.sec.gov/cgi-bin/browse-edgar?CIK=1826669")</f>
        <v>https://www.sec.gov/cgi-bin/browse-edgar?CIK=1826669</v>
      </c>
      <c r="V349" s="72" t="str">
        <f>IFERROR(__xludf.DUMMYFUNCTION("""COMPUTED_VALUE"""),"            ")</f>
        <v>            </v>
      </c>
      <c r="W349" s="73"/>
      <c r="X349" s="74"/>
      <c r="Y349" s="75"/>
      <c r="Z349" s="60"/>
      <c r="AA349" s="60"/>
      <c r="AB349" s="60"/>
      <c r="AC349" s="60"/>
      <c r="AD349" s="73"/>
      <c r="AE349" s="73"/>
      <c r="AF349" s="76"/>
      <c r="AG349" s="60"/>
    </row>
    <row r="350">
      <c r="A350" s="54" t="str">
        <f>IFERROR(__xludf.DUMMYFUNCTION("""COMPUTED_VALUE"""),"HAAC")</f>
        <v>HAAC</v>
      </c>
      <c r="B350" s="55" t="str">
        <f>IFERROR(__xludf.DUMMYFUNCTION("""COMPUTED_VALUE"""),"Health Assurance Acquisition Corp.")</f>
        <v>Health Assurance Acquisition Corp.</v>
      </c>
      <c r="C350" s="56" t="str">
        <f>IFERROR(__xludf.DUMMYFUNCTION("""COMPUTED_VALUE"""),"Searching")</f>
        <v>Searching</v>
      </c>
      <c r="D350" s="57" t="str">
        <f>IFERROR(__xludf.DUMMYFUNCTION("""COMPUTED_VALUE"""),"Healthcare, Health Tech")</f>
        <v>Healthcare, Health Tech</v>
      </c>
      <c r="E350" s="58"/>
      <c r="F350" s="59" t="str">
        <f>IFERROR(__xludf.DUMMYFUNCTION("""COMPUTED_VALUE"""),"Hemant Taneja (MP, General Catalyst), Quentin Clark (Former CTO, Dropbox), Anita Pramoda (Fmr Chair, Federal Reserve Bank of SF), Glen Tullman (Founder and Chairman, Livongo)")</f>
        <v>Hemant Taneja (MP, General Catalyst), Quentin Clark (Former CTO, Dropbox), Anita Pramoda (Fmr Chair, Federal Reserve Bank of SF), Glen Tullman (Founder and Chairman, Livongo)</v>
      </c>
      <c r="G350" s="60">
        <f>IFERROR(__xludf.DUMMYFUNCTION("""COMPUTED_VALUE"""),5.25065532E8)</f>
        <v>525065532</v>
      </c>
      <c r="H350" s="60">
        <f>IFERROR(__xludf.DUMMYFUNCTION("""COMPUTED_VALUE"""),5.6175E8)</f>
        <v>561750000</v>
      </c>
      <c r="I350" s="61">
        <f>IFERROR(__xludf.DUMMYFUNCTION("""COMPUTED_VALUE"""),10.7)</f>
        <v>10.7</v>
      </c>
      <c r="J350" s="62">
        <f>IFERROR(__xludf.DUMMYFUNCTION("""COMPUTED_VALUE"""),0.00659)</f>
        <v>0.00659</v>
      </c>
      <c r="K350" s="59">
        <f>IFERROR(__xludf.DUMMYFUNCTION("""COMPUTED_VALUE"""),11.36)</f>
        <v>11.36</v>
      </c>
      <c r="L350" s="63">
        <f>IFERROR(__xludf.DUMMYFUNCTION("""COMPUTED_VALUE"""),2.9)</f>
        <v>2.9</v>
      </c>
      <c r="M350" s="64" t="str">
        <f>IFERROR(__xludf.DUMMYFUNCTION("""COMPUTED_VALUE"""),"U: [1/4 W]; W: [1:1, $11.5]")</f>
        <v>U: [1/4 W]; W: [1:1, $11.5]</v>
      </c>
      <c r="N350" s="65" t="str">
        <f>IFERROR(__xludf.DUMMYFUNCTION("""COMPUTED_VALUE"""),"")</f>
        <v/>
      </c>
      <c r="O350" s="66">
        <f>IFERROR(__xludf.DUMMYFUNCTION("""COMPUTED_VALUE"""),0.0)</f>
        <v>0</v>
      </c>
      <c r="P350" s="67">
        <f>IFERROR(__xludf.DUMMYFUNCTION("""COMPUTED_VALUE"""),44147.0)</f>
        <v>44147</v>
      </c>
      <c r="Q350" s="68">
        <f>IFERROR(__xludf.DUMMYFUNCTION("""COMPUTED_VALUE"""),525.0)</f>
        <v>525</v>
      </c>
      <c r="R350" s="85" t="str">
        <f>IFERROR(__xludf.DUMMYFUNCTION("""COMPUTED_VALUE"""),"Morgan Stanley")</f>
        <v>Morgan Stanley</v>
      </c>
      <c r="S350" s="64">
        <f>IFERROR(__xludf.DUMMYFUNCTION("""COMPUTED_VALUE"""),44877.0)</f>
        <v>44877</v>
      </c>
      <c r="T350" s="70">
        <f>IFERROR(__xludf.DUMMYFUNCTION("""COMPUTED_VALUE"""),0.20410958904109588)</f>
        <v>0.204109589</v>
      </c>
      <c r="U350" s="71" t="str">
        <f>IFERROR(__xludf.DUMMYFUNCTION("""COMPUTED_VALUE"""),"https://www.sec.gov/cgi-bin/browse-edgar?CIK=1824013")</f>
        <v>https://www.sec.gov/cgi-bin/browse-edgar?CIK=1824013</v>
      </c>
      <c r="V350" s="72" t="str">
        <f>IFERROR(__xludf.DUMMYFUNCTION("""COMPUTED_VALUE"""),"   $500M+ Trust Optionable    Well-known Sponsor  Top Tier UW ")</f>
        <v>   $500M+ Trust Optionable    Well-known Sponsor  Top Tier UW </v>
      </c>
      <c r="W350" s="73"/>
      <c r="X350" s="74"/>
      <c r="Y350" s="75"/>
      <c r="Z350" s="60"/>
      <c r="AA350" s="60"/>
      <c r="AB350" s="60"/>
      <c r="AC350" s="60"/>
      <c r="AD350" s="73"/>
      <c r="AE350" s="73"/>
      <c r="AF350" s="76"/>
      <c r="AG350" s="60" t="str">
        <f>IFERROR(__xludf.DUMMYFUNCTION("""COMPUTED_VALUE"""),"")</f>
        <v/>
      </c>
    </row>
    <row r="351">
      <c r="A351" s="54" t="str">
        <f>IFERROR(__xludf.DUMMYFUNCTION("""COMPUTED_VALUE"""),"HCAA")</f>
        <v>HCAA</v>
      </c>
      <c r="B351" s="55" t="str">
        <f>IFERROR(__xludf.DUMMYFUNCTION("""COMPUTED_VALUE"""),"Hony Capital Acquisition Corp.")</f>
        <v>Hony Capital Acquisition Corp.</v>
      </c>
      <c r="C351" s="56" t="str">
        <f>IFERROR(__xludf.DUMMYFUNCTION("""COMPUTED_VALUE"""),"Pre IPO")</f>
        <v>Pre IPO</v>
      </c>
      <c r="D351" s="57" t="str">
        <f>IFERROR(__xludf.DUMMYFUNCTION("""COMPUTED_VALUE"""),"Halthcare and Consumer in China ")</f>
        <v>Halthcare and Consumer in China </v>
      </c>
      <c r="E351" s="58"/>
      <c r="F351" s="59" t="str">
        <f>IFERROR(__xludf.DUMMYFUNCTION("""COMPUTED_VALUE"""),"John Zhao (Chairman/CEO, Hony Capital)")</f>
        <v>John Zhao (Chairman/CEO, Hony Capital)</v>
      </c>
      <c r="G351" s="60">
        <f>IFERROR(__xludf.DUMMYFUNCTION("""COMPUTED_VALUE"""),3.0E8)</f>
        <v>300000000</v>
      </c>
      <c r="H351" s="60" t="str">
        <f>IFERROR(__xludf.DUMMYFUNCTION("""COMPUTED_VALUE""")," ")</f>
        <v> </v>
      </c>
      <c r="I351" s="61" t="str">
        <f>IFERROR(__xludf.DUMMYFUNCTION("""COMPUTED_VALUE""")," ")</f>
        <v> </v>
      </c>
      <c r="J351" s="62" t="str">
        <f>IFERROR(__xludf.DUMMYFUNCTION("""COMPUTED_VALUE""")," ")</f>
        <v> </v>
      </c>
      <c r="K351" s="59" t="str">
        <f>IFERROR(__xludf.DUMMYFUNCTION("""COMPUTED_VALUE""")," ")</f>
        <v> </v>
      </c>
      <c r="L351" s="63" t="str">
        <f>IFERROR(__xludf.DUMMYFUNCTION("""COMPUTED_VALUE""")," ")</f>
        <v> </v>
      </c>
      <c r="M351" s="64" t="str">
        <f>IFERROR(__xludf.DUMMYFUNCTION("""COMPUTED_VALUE"""),"U: [1/2 W]; W: [1:1, $11.5]")</f>
        <v>U: [1/2 W]; W: [1:1, $11.5]</v>
      </c>
      <c r="N351" s="65" t="str">
        <f>IFERROR(__xludf.DUMMYFUNCTION("""COMPUTED_VALUE"""),"")</f>
        <v/>
      </c>
      <c r="O351" s="66">
        <f>IFERROR(__xludf.DUMMYFUNCTION("""COMPUTED_VALUE"""),0.0)</f>
        <v>0</v>
      </c>
      <c r="P351" s="67"/>
      <c r="Q351" s="68">
        <f>IFERROR(__xludf.DUMMYFUNCTION("""COMPUTED_VALUE"""),300.0)</f>
        <v>300</v>
      </c>
      <c r="R351" s="69" t="str">
        <f>IFERROR(__xludf.DUMMYFUNCTION("""COMPUTED_VALUE"""),"Citigroup, Credit Suisse")</f>
        <v>Citigroup, Credit Suisse</v>
      </c>
      <c r="S351" s="64">
        <f>IFERROR(__xludf.DUMMYFUNCTION("""COMPUTED_VALUE"""),45086.0)</f>
        <v>45086</v>
      </c>
      <c r="T351" s="70" t="str">
        <f>IFERROR(__xludf.DUMMYFUNCTION("""COMPUTED_VALUE"""),"")</f>
        <v/>
      </c>
      <c r="U351" s="71" t="str">
        <f>IFERROR(__xludf.DUMMYFUNCTION("""COMPUTED_VALUE"""),"https://www.sec.gov/cgi-bin/browse-edgar?CIK=1847107")</f>
        <v>https://www.sec.gov/cgi-bin/browse-edgar?CIK=1847107</v>
      </c>
      <c r="V351" s="72" t="str">
        <f>IFERROR(__xludf.DUMMYFUNCTION("""COMPUTED_VALUE"""),"           Top Tier UW ")</f>
        <v>           Top Tier UW </v>
      </c>
      <c r="W351" s="73"/>
      <c r="X351" s="74"/>
      <c r="Y351" s="75"/>
      <c r="Z351" s="60"/>
      <c r="AA351" s="60"/>
      <c r="AB351" s="60"/>
      <c r="AC351" s="60"/>
      <c r="AD351" s="73"/>
      <c r="AE351" s="73"/>
      <c r="AF351" s="76"/>
      <c r="AG351" s="60"/>
    </row>
    <row r="352">
      <c r="A352" s="54" t="str">
        <f>IFERROR(__xludf.DUMMYFUNCTION("""COMPUTED_VALUE"""),"HCAQ")</f>
        <v>HCAQ</v>
      </c>
      <c r="B352" s="55" t="str">
        <f>IFERROR(__xludf.DUMMYFUNCTION("""COMPUTED_VALUE"""),"HealthCor Catalio Acquisition Corp.​")</f>
        <v>HealthCor Catalio Acquisition Corp.​</v>
      </c>
      <c r="C352" s="56" t="str">
        <f>IFERROR(__xludf.DUMMYFUNCTION("""COMPUTED_VALUE"""),"Searching")</f>
        <v>Searching</v>
      </c>
      <c r="D352" s="57" t="str">
        <f>IFERROR(__xludf.DUMMYFUNCTION("""COMPUTED_VALUE"""),"Healthcare")</f>
        <v>Healthcare</v>
      </c>
      <c r="E352" s="58"/>
      <c r="F352" s="59"/>
      <c r="G352" s="60">
        <f>IFERROR(__xludf.DUMMYFUNCTION("""COMPUTED_VALUE"""),2.0286E8)</f>
        <v>202860000</v>
      </c>
      <c r="H352" s="60">
        <f>IFERROR(__xludf.DUMMYFUNCTION("""COMPUTED_VALUE"""),2.10105E8)</f>
        <v>210105000</v>
      </c>
      <c r="I352" s="61">
        <f>IFERROR(__xludf.DUMMYFUNCTION("""COMPUTED_VALUE"""),10.15)</f>
        <v>10.15</v>
      </c>
      <c r="J352" s="62"/>
      <c r="K352" s="59" t="str">
        <f>IFERROR(__xludf.DUMMYFUNCTION("""COMPUTED_VALUE""")," ")</f>
        <v> </v>
      </c>
      <c r="L352" s="63" t="str">
        <f>IFERROR(__xludf.DUMMYFUNCTION("""COMPUTED_VALUE""")," ")</f>
        <v> </v>
      </c>
      <c r="M352" s="64" t="str">
        <f>IFERROR(__xludf.DUMMYFUNCTION("""COMPUTED_VALUE"""),"U: [No units]; W: [No warrants]")</f>
        <v>U: [No units]; W: [No warrants]</v>
      </c>
      <c r="N352" s="65" t="str">
        <f>IFERROR(__xludf.DUMMYFUNCTION("""COMPUTED_VALUE"""),"")</f>
        <v/>
      </c>
      <c r="O352" s="66">
        <f>IFERROR(__xludf.DUMMYFUNCTION("""COMPUTED_VALUE"""),0.0)</f>
        <v>0</v>
      </c>
      <c r="P352" s="67">
        <f>IFERROR(__xludf.DUMMYFUNCTION("""COMPUTED_VALUE"""),44222.0)</f>
        <v>44222</v>
      </c>
      <c r="Q352" s="68">
        <f>IFERROR(__xludf.DUMMYFUNCTION("""COMPUTED_VALUE"""),202.868)</f>
        <v>202.868</v>
      </c>
      <c r="R352" s="85" t="str">
        <f>IFERROR(__xludf.DUMMYFUNCTION("""COMPUTED_VALUE"""),"Jefferies")</f>
        <v>Jefferies</v>
      </c>
      <c r="S352" s="64">
        <f>IFERROR(__xludf.DUMMYFUNCTION("""COMPUTED_VALUE"""),44952.0)</f>
        <v>44952</v>
      </c>
      <c r="T352" s="70">
        <f>IFERROR(__xludf.DUMMYFUNCTION("""COMPUTED_VALUE"""),0.10136986301369863)</f>
        <v>0.101369863</v>
      </c>
      <c r="U352" s="71" t="str">
        <f>IFERROR(__xludf.DUMMYFUNCTION("""COMPUTED_VALUE"""),"https://www.sec.gov/cgi-bin/browse-edgar?CIK=1833769")</f>
        <v>https://www.sec.gov/cgi-bin/browse-edgar?CIK=1833769</v>
      </c>
      <c r="V352" s="72" t="str">
        <f>IFERROR(__xludf.DUMMYFUNCTION("""COMPUTED_VALUE"""),"            ")</f>
        <v>            </v>
      </c>
      <c r="W352" s="73"/>
      <c r="X352" s="74"/>
      <c r="Y352" s="75"/>
      <c r="Z352" s="60"/>
      <c r="AA352" s="60"/>
      <c r="AB352" s="60"/>
      <c r="AC352" s="60"/>
      <c r="AD352" s="73"/>
      <c r="AE352" s="73"/>
      <c r="AF352" s="76"/>
      <c r="AG352" s="60" t="str">
        <f>IFERROR(__xludf.DUMMYFUNCTION("""COMPUTED_VALUE"""),"")</f>
        <v/>
      </c>
    </row>
    <row r="353">
      <c r="A353" s="54" t="str">
        <f>IFERROR(__xludf.DUMMYFUNCTION("""COMPUTED_VALUE"""),"HCAR")</f>
        <v>HCAR</v>
      </c>
      <c r="B353" s="55" t="str">
        <f>IFERROR(__xludf.DUMMYFUNCTION("""COMPUTED_VALUE"""),"Healthcare Services Acquisition Corp")</f>
        <v>Healthcare Services Acquisition Corp</v>
      </c>
      <c r="C353" s="56" t="str">
        <f>IFERROR(__xludf.DUMMYFUNCTION("""COMPUTED_VALUE"""),"Searching")</f>
        <v>Searching</v>
      </c>
      <c r="D353" s="57" t="str">
        <f>IFERROR(__xludf.DUMMYFUNCTION("""COMPUTED_VALUE"""),"Healthcare Services")</f>
        <v>Healthcare Services</v>
      </c>
      <c r="E353" s="58"/>
      <c r="F353" s="59" t="str">
        <f>IFERROR(__xludf.DUMMYFUNCTION("""COMPUTED_VALUE"""),"David Blair (Former CEO, Catalyst Health)")</f>
        <v>David Blair (Former CEO, Catalyst Health)</v>
      </c>
      <c r="G353" s="60">
        <f>IFERROR(__xludf.DUMMYFUNCTION("""COMPUTED_VALUE"""),3.31191879E8)</f>
        <v>331191879</v>
      </c>
      <c r="H353" s="60">
        <f>IFERROR(__xludf.DUMMYFUNCTION("""COMPUTED_VALUE"""),3.2292E8)</f>
        <v>322920000</v>
      </c>
      <c r="I353" s="61">
        <f>IFERROR(__xludf.DUMMYFUNCTION("""COMPUTED_VALUE"""),9.75)</f>
        <v>9.75</v>
      </c>
      <c r="J353" s="62">
        <f>IFERROR(__xludf.DUMMYFUNCTION("""COMPUTED_VALUE"""),-0.00102)</f>
        <v>-0.00102</v>
      </c>
      <c r="K353" s="59">
        <f>IFERROR(__xludf.DUMMYFUNCTION("""COMPUTED_VALUE"""),10.1)</f>
        <v>10.1</v>
      </c>
      <c r="L353" s="63">
        <f>IFERROR(__xludf.DUMMYFUNCTION("""COMPUTED_VALUE"""),0.8)</f>
        <v>0.8</v>
      </c>
      <c r="M353" s="64" t="str">
        <f>IFERROR(__xludf.DUMMYFUNCTION("""COMPUTED_VALUE"""),"U: [1/2 W]; W: [1:1, $11.5]")</f>
        <v>U: [1/2 W]; W: [1:1, $11.5]</v>
      </c>
      <c r="N353" s="65" t="str">
        <f>IFERROR(__xludf.DUMMYFUNCTION("""COMPUTED_VALUE"""),"")</f>
        <v/>
      </c>
      <c r="O353" s="66">
        <f>IFERROR(__xludf.DUMMYFUNCTION("""COMPUTED_VALUE"""),0.0)</f>
        <v>0</v>
      </c>
      <c r="P353" s="67">
        <f>IFERROR(__xludf.DUMMYFUNCTION("""COMPUTED_VALUE"""),44187.0)</f>
        <v>44187</v>
      </c>
      <c r="Q353" s="68">
        <f>IFERROR(__xludf.DUMMYFUNCTION("""COMPUTED_VALUE"""),331.2)</f>
        <v>331.2</v>
      </c>
      <c r="R353" s="85" t="str">
        <f>IFERROR(__xludf.DUMMYFUNCTION("""COMPUTED_VALUE"""),"BofA Securities, Stifel")</f>
        <v>BofA Securities, Stifel</v>
      </c>
      <c r="S353" s="64">
        <f>IFERROR(__xludf.DUMMYFUNCTION("""COMPUTED_VALUE"""),44917.0)</f>
        <v>44917</v>
      </c>
      <c r="T353" s="70">
        <f>IFERROR(__xludf.DUMMYFUNCTION("""COMPUTED_VALUE"""),0.14931506849315068)</f>
        <v>0.1493150685</v>
      </c>
      <c r="U353" s="71" t="str">
        <f>IFERROR(__xludf.DUMMYFUNCTION("""COMPUTED_VALUE"""),"https://www.sec.gov/cgi-bin/browse-edgar?CIK=1824846")</f>
        <v>https://www.sec.gov/cgi-bin/browse-edgar?CIK=1824846</v>
      </c>
      <c r="V353" s="72" t="str">
        <f>IFERROR(__xludf.DUMMYFUNCTION("""COMPUTED_VALUE""")," Trading Below $10 (Common)          Top Tier UW ")</f>
        <v> Trading Below $10 (Common)          Top Tier UW </v>
      </c>
      <c r="W353" s="73"/>
      <c r="X353" s="74"/>
      <c r="Y353" s="75"/>
      <c r="Z353" s="60"/>
      <c r="AA353" s="60"/>
      <c r="AB353" s="60"/>
      <c r="AC353" s="60"/>
      <c r="AD353" s="73"/>
      <c r="AE353" s="73"/>
      <c r="AF353" s="76"/>
      <c r="AG353" s="60" t="str">
        <f>IFERROR(__xludf.DUMMYFUNCTION("""COMPUTED_VALUE"""),"")</f>
        <v/>
      </c>
    </row>
    <row r="354">
      <c r="A354" s="54" t="str">
        <f>IFERROR(__xludf.DUMMYFUNCTION("""COMPUTED_VALUE"""),"HCCC")</f>
        <v>HCCC</v>
      </c>
      <c r="B354" s="55" t="str">
        <f>IFERROR(__xludf.DUMMYFUNCTION("""COMPUTED_VALUE"""),"Healthcare Capital Corp.")</f>
        <v>Healthcare Capital Corp.</v>
      </c>
      <c r="C354" s="56" t="str">
        <f>IFERROR(__xludf.DUMMYFUNCTION("""COMPUTED_VALUE"""),"Searching")</f>
        <v>Searching</v>
      </c>
      <c r="D354" s="57" t="str">
        <f>IFERROR(__xludf.DUMMYFUNCTION("""COMPUTED_VALUE"""),"Digital/Telehealth, Life Sciences, Medical Devices, HealthTech")</f>
        <v>Digital/Telehealth, Life Sciences, Medical Devices, HealthTech</v>
      </c>
      <c r="E354" s="58"/>
      <c r="F354" s="59"/>
      <c r="G354" s="60">
        <f>IFERROR(__xludf.DUMMYFUNCTION("""COMPUTED_VALUE"""),2.75E8)</f>
        <v>275000000</v>
      </c>
      <c r="H354" s="60">
        <f>IFERROR(__xludf.DUMMYFUNCTION("""COMPUTED_VALUE"""),3.71041E8)</f>
        <v>371041000</v>
      </c>
      <c r="I354" s="61">
        <f>IFERROR(__xludf.DUMMYFUNCTION("""COMPUTED_VALUE"""),9.79)</f>
        <v>9.79</v>
      </c>
      <c r="J354" s="62"/>
      <c r="K354" s="59">
        <f>IFERROR(__xludf.DUMMYFUNCTION("""COMPUTED_VALUE"""),10.14)</f>
        <v>10.14</v>
      </c>
      <c r="L354" s="63">
        <f>IFERROR(__xludf.DUMMYFUNCTION("""COMPUTED_VALUE"""),0.6583)</f>
        <v>0.6583</v>
      </c>
      <c r="M354" s="64" t="str">
        <f>IFERROR(__xludf.DUMMYFUNCTION("""COMPUTED_VALUE"""),"U: [1/2 W]; W: [1:1, $11.5]")</f>
        <v>U: [1/2 W]; W: [1:1, $11.5]</v>
      </c>
      <c r="N354" s="65">
        <f>IFERROR(__xludf.DUMMYFUNCTION("""COMPUTED_VALUE"""),44263.0)</f>
        <v>44263</v>
      </c>
      <c r="O354" s="66">
        <f>IFERROR(__xludf.DUMMYFUNCTION("""COMPUTED_VALUE"""),0.0)</f>
        <v>0</v>
      </c>
      <c r="P354" s="67">
        <f>IFERROR(__xludf.DUMMYFUNCTION("""COMPUTED_VALUE"""),44210.0)</f>
        <v>44210</v>
      </c>
      <c r="Q354" s="68">
        <f>IFERROR(__xludf.DUMMYFUNCTION("""COMPUTED_VALUE"""),275.0)</f>
        <v>275</v>
      </c>
      <c r="R354" s="69" t="str">
        <f>IFERROR(__xludf.DUMMYFUNCTION("""COMPUTED_VALUE"""),"Cantor")</f>
        <v>Cantor</v>
      </c>
      <c r="S354" s="64">
        <f>IFERROR(__xludf.DUMMYFUNCTION("""COMPUTED_VALUE"""),44940.0)</f>
        <v>44940</v>
      </c>
      <c r="T354" s="70">
        <f>IFERROR(__xludf.DUMMYFUNCTION("""COMPUTED_VALUE"""),0.1178082191780822)</f>
        <v>0.1178082192</v>
      </c>
      <c r="U354" s="71" t="str">
        <f>IFERROR(__xludf.DUMMYFUNCTION("""COMPUTED_VALUE"""),"https://www.sec.gov/cgi-bin/browse-edgar?CIK=1822935")</f>
        <v>https://www.sec.gov/cgi-bin/browse-edgar?CIK=1822935</v>
      </c>
      <c r="V354" s="72" t="str">
        <f>IFERROR(__xludf.DUMMYFUNCTION("""COMPUTED_VALUE""")," Trading Below $10 (Common)           ")</f>
        <v> Trading Below $10 (Common)           </v>
      </c>
      <c r="W354" s="73"/>
      <c r="X354" s="74"/>
      <c r="Y354" s="75"/>
      <c r="Z354" s="60"/>
      <c r="AA354" s="60"/>
      <c r="AB354" s="60"/>
      <c r="AC354" s="60"/>
      <c r="AD354" s="73"/>
      <c r="AE354" s="73"/>
      <c r="AF354" s="76"/>
      <c r="AG354" s="60" t="str">
        <f>IFERROR(__xludf.DUMMYFUNCTION("""COMPUTED_VALUE"""),"")</f>
        <v/>
      </c>
    </row>
    <row r="355">
      <c r="A355" s="54" t="str">
        <f>IFERROR(__xludf.DUMMYFUNCTION("""COMPUTED_VALUE"""),"HCCR")</f>
        <v>HCCR</v>
      </c>
      <c r="B355" s="55" t="str">
        <f>IFERROR(__xludf.DUMMYFUNCTION("""COMPUTED_VALUE"""),"HighCape Capital Acquisition Corp. II")</f>
        <v>HighCape Capital Acquisition Corp. II</v>
      </c>
      <c r="C355" s="56" t="str">
        <f>IFERROR(__xludf.DUMMYFUNCTION("""COMPUTED_VALUE"""),"Pre IPO")</f>
        <v>Pre IPO</v>
      </c>
      <c r="D355" s="77" t="str">
        <f>IFERROR(__xludf.DUMMYFUNCTION("""COMPUTED_VALUE"""),"Life Sciences")</f>
        <v>Life Sciences</v>
      </c>
      <c r="E355" s="58"/>
      <c r="F355" s="59" t="str">
        <f>IFERROR(__xludf.DUMMYFUNCTION("""COMPUTED_VALUE"""),"Kevin Rakin (Partner of High Cape Capital)")</f>
        <v>Kevin Rakin (Partner of High Cape Capital)</v>
      </c>
      <c r="G355" s="60">
        <f>IFERROR(__xludf.DUMMYFUNCTION("""COMPUTED_VALUE"""),2.0E8)</f>
        <v>200000000</v>
      </c>
      <c r="H355" s="60" t="str">
        <f>IFERROR(__xludf.DUMMYFUNCTION("""COMPUTED_VALUE""")," ")</f>
        <v> </v>
      </c>
      <c r="I355" s="61" t="str">
        <f>IFERROR(__xludf.DUMMYFUNCTION("""COMPUTED_VALUE""")," ")</f>
        <v> </v>
      </c>
      <c r="J355" s="62" t="str">
        <f>IFERROR(__xludf.DUMMYFUNCTION("""COMPUTED_VALUE""")," ")</f>
        <v> </v>
      </c>
      <c r="K355" s="59" t="str">
        <f>IFERROR(__xludf.DUMMYFUNCTION("""COMPUTED_VALUE""")," ")</f>
        <v> </v>
      </c>
      <c r="L355" s="63" t="str">
        <f>IFERROR(__xludf.DUMMYFUNCTION("""COMPUTED_VALUE""")," ")</f>
        <v> </v>
      </c>
      <c r="M355" s="64" t="str">
        <f>IFERROR(__xludf.DUMMYFUNCTION("""COMPUTED_VALUE"""),"U: [1/4 W]; W: [1:1, $11.5]")</f>
        <v>U: [1/4 W]; W: [1:1, $11.5]</v>
      </c>
      <c r="N355" s="65" t="str">
        <f>IFERROR(__xludf.DUMMYFUNCTION("""COMPUTED_VALUE"""),"")</f>
        <v/>
      </c>
      <c r="O355" s="66">
        <f>IFERROR(__xludf.DUMMYFUNCTION("""COMPUTED_VALUE"""),0.0)</f>
        <v>0</v>
      </c>
      <c r="P355" s="67"/>
      <c r="Q355" s="68">
        <f>IFERROR(__xludf.DUMMYFUNCTION("""COMPUTED_VALUE"""),200.0)</f>
        <v>200</v>
      </c>
      <c r="R355" s="69" t="str">
        <f>IFERROR(__xludf.DUMMYFUNCTION("""COMPUTED_VALUE"""),"Cantor")</f>
        <v>Cantor</v>
      </c>
      <c r="S355" s="64">
        <f>IFERROR(__xludf.DUMMYFUNCTION("""COMPUTED_VALUE"""),45086.0)</f>
        <v>45086</v>
      </c>
      <c r="T355" s="70" t="str">
        <f>IFERROR(__xludf.DUMMYFUNCTION("""COMPUTED_VALUE"""),"")</f>
        <v/>
      </c>
      <c r="U355" s="71" t="str">
        <f>IFERROR(__xludf.DUMMYFUNCTION("""COMPUTED_VALUE"""),"https://www.sec.gov/cgi-bin/browse-edgar?CIK=1846064")</f>
        <v>https://www.sec.gov/cgi-bin/browse-edgar?CIK=1846064</v>
      </c>
      <c r="V355" s="72" t="str">
        <f>IFERROR(__xludf.DUMMYFUNCTION("""COMPUTED_VALUE"""),"Venture Capital            ")</f>
        <v>Venture Capital            </v>
      </c>
      <c r="W355" s="73"/>
      <c r="X355" s="74"/>
      <c r="Y355" s="75"/>
      <c r="Z355" s="60"/>
      <c r="AA355" s="60"/>
      <c r="AB355" s="60"/>
      <c r="AC355" s="60"/>
      <c r="AD355" s="73"/>
      <c r="AE355" s="73"/>
      <c r="AF355" s="76"/>
      <c r="AG355" s="60"/>
    </row>
    <row r="356">
      <c r="A356" s="54" t="str">
        <f>IFERROR(__xludf.DUMMYFUNCTION("""COMPUTED_VALUE"""),"HCIC")</f>
        <v>HCIC</v>
      </c>
      <c r="B356" s="55" t="str">
        <f>IFERROR(__xludf.DUMMYFUNCTION("""COMPUTED_VALUE"""),"Hennessy Capital Investment Corp. V")</f>
        <v>Hennessy Capital Investment Corp. V</v>
      </c>
      <c r="C356" s="56" t="str">
        <f>IFERROR(__xludf.DUMMYFUNCTION("""COMPUTED_VALUE"""),"Searching")</f>
        <v>Searching</v>
      </c>
      <c r="D356" s="77" t="str">
        <f>IFERROR(__xludf.DUMMYFUNCTION("""COMPUTED_VALUE"""),"Sustainable Industrial Tech &amp; Infrastructure")</f>
        <v>Sustainable Industrial Tech &amp; Infrastructure</v>
      </c>
      <c r="E356" s="58"/>
      <c r="F356" s="59" t="str">
        <f>IFERROR(__xludf.DUMMYFUNCTION("""COMPUTED_VALUE"""),"Daniel Hennessy, Jeff Immelt (Fmr Chairman/CEO, General Electric; Director, Twilio), Tanguy Serra (Fmr Pres, SolarCity)")</f>
        <v>Daniel Hennessy, Jeff Immelt (Fmr Chairman/CEO, General Electric; Director, Twilio), Tanguy Serra (Fmr Pres, SolarCity)</v>
      </c>
      <c r="G356" s="60">
        <f>IFERROR(__xludf.DUMMYFUNCTION("""COMPUTED_VALUE"""),3.45E8)</f>
        <v>345000000</v>
      </c>
      <c r="H356" s="60">
        <f>IFERROR(__xludf.DUMMYFUNCTION("""COMPUTED_VALUE"""),3.4086E8)</f>
        <v>340860000</v>
      </c>
      <c r="I356" s="61">
        <f>IFERROR(__xludf.DUMMYFUNCTION("""COMPUTED_VALUE"""),9.88)</f>
        <v>9.88</v>
      </c>
      <c r="J356" s="62">
        <f>IFERROR(__xludf.DUMMYFUNCTION("""COMPUTED_VALUE"""),-0.00101)</f>
        <v>-0.00101</v>
      </c>
      <c r="K356" s="59">
        <f>IFERROR(__xludf.DUMMYFUNCTION("""COMPUTED_VALUE"""),10.17)</f>
        <v>10.17</v>
      </c>
      <c r="L356" s="63">
        <f>IFERROR(__xludf.DUMMYFUNCTION("""COMPUTED_VALUE"""),1.35)</f>
        <v>1.35</v>
      </c>
      <c r="M356" s="64" t="str">
        <f>IFERROR(__xludf.DUMMYFUNCTION("""COMPUTED_VALUE"""),"U: [1/4 W]; W: [1:1, $11.5]")</f>
        <v>U: [1/4 W]; W: [1:1, $11.5]</v>
      </c>
      <c r="N356" s="65">
        <f>IFERROR(__xludf.DUMMYFUNCTION("""COMPUTED_VALUE"""),44263.0)</f>
        <v>44263</v>
      </c>
      <c r="O356" s="66">
        <f>IFERROR(__xludf.DUMMYFUNCTION("""COMPUTED_VALUE"""),0.0)</f>
        <v>0</v>
      </c>
      <c r="P356" s="67">
        <f>IFERROR(__xludf.DUMMYFUNCTION("""COMPUTED_VALUE"""),44210.0)</f>
        <v>44210</v>
      </c>
      <c r="Q356" s="68">
        <f>IFERROR(__xludf.DUMMYFUNCTION("""COMPUTED_VALUE"""),345.0)</f>
        <v>345</v>
      </c>
      <c r="R356" s="85" t="str">
        <f>IFERROR(__xludf.DUMMYFUNCTION("""COMPUTED_VALUE"""),"Citigroup, Barclays")</f>
        <v>Citigroup, Barclays</v>
      </c>
      <c r="S356" s="64">
        <f>IFERROR(__xludf.DUMMYFUNCTION("""COMPUTED_VALUE"""),44940.0)</f>
        <v>44940</v>
      </c>
      <c r="T356" s="70">
        <f>IFERROR(__xludf.DUMMYFUNCTION("""COMPUTED_VALUE"""),0.1178082191780822)</f>
        <v>0.1178082192</v>
      </c>
      <c r="U356" s="71" t="str">
        <f>IFERROR(__xludf.DUMMYFUNCTION("""COMPUTED_VALUE"""),"https://www.sec.gov/cgi-bin/browse-edgar?CIK=1829455")</f>
        <v>https://www.sec.gov/cgi-bin/browse-edgar?CIK=1829455</v>
      </c>
      <c r="V356" s="72" t="str">
        <f>IFERROR(__xludf.DUMMYFUNCTION("""COMPUTED_VALUE"""),"Sustainability Trading Below $10 (Common)         Serial Sponsor Top Tier UW ")</f>
        <v>Sustainability Trading Below $10 (Common)         Serial Sponsor Top Tier UW </v>
      </c>
      <c r="W356" s="73"/>
      <c r="X356" s="74"/>
      <c r="Y356" s="75"/>
      <c r="Z356" s="60"/>
      <c r="AA356" s="60"/>
      <c r="AB356" s="60"/>
      <c r="AC356" s="60"/>
      <c r="AD356" s="73"/>
      <c r="AE356" s="73"/>
      <c r="AF356" s="76"/>
      <c r="AG356" s="60" t="str">
        <f>IFERROR(__xludf.DUMMYFUNCTION("""COMPUTED_VALUE"""),"")</f>
        <v/>
      </c>
    </row>
    <row r="357">
      <c r="A357" s="54" t="str">
        <f>IFERROR(__xludf.DUMMYFUNCTION("""COMPUTED_VALUE"""),"HCII")</f>
        <v>HCII</v>
      </c>
      <c r="B357" s="55" t="str">
        <f>IFERROR(__xludf.DUMMYFUNCTION("""COMPUTED_VALUE"""),"Hudson Executive Investment Corp. II")</f>
        <v>Hudson Executive Investment Corp. II</v>
      </c>
      <c r="C357" s="56" t="str">
        <f>IFERROR(__xludf.DUMMYFUNCTION("""COMPUTED_VALUE"""),"Searching")</f>
        <v>Searching</v>
      </c>
      <c r="D357" s="57" t="str">
        <f>IFERROR(__xludf.DUMMYFUNCTION("""COMPUTED_VALUE"""),"Technology-driven")</f>
        <v>Technology-driven</v>
      </c>
      <c r="E357" s="58"/>
      <c r="F357" s="59" t="str">
        <f>IFERROR(__xludf.DUMMYFUNCTION("""COMPUTED_VALUE"""),"Douglas Bergeron (Co-founder CEO, HEIC I)")</f>
        <v>Douglas Bergeron (Co-founder CEO, HEIC I)</v>
      </c>
      <c r="G357" s="60">
        <f>IFERROR(__xludf.DUMMYFUNCTION("""COMPUTED_VALUE"""),2.5E8)</f>
        <v>250000000</v>
      </c>
      <c r="H357" s="60">
        <f>IFERROR(__xludf.DUMMYFUNCTION("""COMPUTED_VALUE"""),2.4975E8)</f>
        <v>249750000</v>
      </c>
      <c r="I357" s="61">
        <f>IFERROR(__xludf.DUMMYFUNCTION("""COMPUTED_VALUE"""),9.99)</f>
        <v>9.99</v>
      </c>
      <c r="J357" s="62">
        <f>IFERROR(__xludf.DUMMYFUNCTION("""COMPUTED_VALUE"""),0.02884)</f>
        <v>0.02884</v>
      </c>
      <c r="K357" s="59">
        <f>IFERROR(__xludf.DUMMYFUNCTION("""COMPUTED_VALUE"""),10.19)</f>
        <v>10.19</v>
      </c>
      <c r="L357" s="63">
        <f>IFERROR(__xludf.DUMMYFUNCTION("""COMPUTED_VALUE"""),1.15)</f>
        <v>1.15</v>
      </c>
      <c r="M357" s="64" t="str">
        <f>IFERROR(__xludf.DUMMYFUNCTION("""COMPUTED_VALUE"""),"U: [1/4 W]; W: [1:1, $11.5]")</f>
        <v>U: [1/4 W]; W: [1:1, $11.5]</v>
      </c>
      <c r="N357" s="65">
        <f>IFERROR(__xludf.DUMMYFUNCTION("""COMPUTED_VALUE"""),44273.0)</f>
        <v>44273</v>
      </c>
      <c r="O357" s="66">
        <f>IFERROR(__xludf.DUMMYFUNCTION("""COMPUTED_VALUE"""),0.0)</f>
        <v>0</v>
      </c>
      <c r="P357" s="67">
        <f>IFERROR(__xludf.DUMMYFUNCTION("""COMPUTED_VALUE"""),44222.0)</f>
        <v>44222</v>
      </c>
      <c r="Q357" s="68">
        <f>IFERROR(__xludf.DUMMYFUNCTION("""COMPUTED_VALUE"""),250.0)</f>
        <v>250</v>
      </c>
      <c r="R357" s="85" t="str">
        <f>IFERROR(__xludf.DUMMYFUNCTION("""COMPUTED_VALUE"""),"Citigroup, JP Morgan, Barclays")</f>
        <v>Citigroup, JP Morgan, Barclays</v>
      </c>
      <c r="S357" s="64">
        <f>IFERROR(__xludf.DUMMYFUNCTION("""COMPUTED_VALUE"""),44952.0)</f>
        <v>44952</v>
      </c>
      <c r="T357" s="70">
        <f>IFERROR(__xludf.DUMMYFUNCTION("""COMPUTED_VALUE"""),0.10136986301369863)</f>
        <v>0.101369863</v>
      </c>
      <c r="U357" s="71" t="str">
        <f>IFERROR(__xludf.DUMMYFUNCTION("""COMPUTED_VALUE"""),"https://www.sec.gov/cgi-bin/browse-edgar?CIK=1823033")</f>
        <v>https://www.sec.gov/cgi-bin/browse-edgar?CIK=1823033</v>
      </c>
      <c r="V357" s="72" t="str">
        <f>IFERROR(__xludf.DUMMYFUNCTION("""COMPUTED_VALUE""")," Trading Below $10 (Common)          Top Tier UW ")</f>
        <v> Trading Below $10 (Common)          Top Tier UW </v>
      </c>
      <c r="W357" s="73"/>
      <c r="X357" s="74"/>
      <c r="Y357" s="75"/>
      <c r="Z357" s="60"/>
      <c r="AA357" s="60"/>
      <c r="AB357" s="60"/>
      <c r="AC357" s="60"/>
      <c r="AD357" s="73"/>
      <c r="AE357" s="73"/>
      <c r="AF357" s="76"/>
      <c r="AG357" s="60" t="str">
        <f>IFERROR(__xludf.DUMMYFUNCTION("""COMPUTED_VALUE"""),"")</f>
        <v/>
      </c>
    </row>
    <row r="358">
      <c r="A358" s="54" t="str">
        <f>IFERROR(__xludf.DUMMYFUNCTION("""COMPUTED_VALUE"""),"HCMA")</f>
        <v>HCMA</v>
      </c>
      <c r="B358" s="55" t="str">
        <f>IFERROR(__xludf.DUMMYFUNCTION("""COMPUTED_VALUE"""),"HCM Acquisition Corp")</f>
        <v>HCM Acquisition Corp</v>
      </c>
      <c r="C358" s="56" t="str">
        <f>IFERROR(__xludf.DUMMYFUNCTION("""COMPUTED_VALUE"""),"Pre IPO")</f>
        <v>Pre IPO</v>
      </c>
      <c r="D358" s="77" t="str">
        <f>IFERROR(__xludf.DUMMYFUNCTION("""COMPUTED_VALUE"""),"Fintech")</f>
        <v>Fintech</v>
      </c>
      <c r="E358" s="58"/>
      <c r="F358" s="59" t="str">
        <f>IFERROR(__xludf.DUMMYFUNCTION("""COMPUTED_VALUE"""),"Shawn Matthews (Former CEO of Cantor Fitzgerald), James Bond (Former COO of Cantor Fitzgerald)")</f>
        <v>Shawn Matthews (Former CEO of Cantor Fitzgerald), James Bond (Former COO of Cantor Fitzgerald)</v>
      </c>
      <c r="G358" s="60">
        <f>IFERROR(__xludf.DUMMYFUNCTION("""COMPUTED_VALUE"""),2.5E8)</f>
        <v>250000000</v>
      </c>
      <c r="H358" s="60" t="str">
        <f>IFERROR(__xludf.DUMMYFUNCTION("""COMPUTED_VALUE""")," ")</f>
        <v> </v>
      </c>
      <c r="I358" s="61" t="str">
        <f>IFERROR(__xludf.DUMMYFUNCTION("""COMPUTED_VALUE""")," ")</f>
        <v> </v>
      </c>
      <c r="J358" s="62" t="str">
        <f>IFERROR(__xludf.DUMMYFUNCTION("""COMPUTED_VALUE""")," ")</f>
        <v> </v>
      </c>
      <c r="K358" s="59" t="str">
        <f>IFERROR(__xludf.DUMMYFUNCTION("""COMPUTED_VALUE""")," ")</f>
        <v> </v>
      </c>
      <c r="L358" s="63" t="str">
        <f>IFERROR(__xludf.DUMMYFUNCTION("""COMPUTED_VALUE""")," ")</f>
        <v> </v>
      </c>
      <c r="M358" s="64" t="str">
        <f>IFERROR(__xludf.DUMMYFUNCTION("""COMPUTED_VALUE"""),"U: [1/2 W]; W: [1:1, $11.5]")</f>
        <v>U: [1/2 W]; W: [1:1, $11.5]</v>
      </c>
      <c r="N358" s="65" t="str">
        <f>IFERROR(__xludf.DUMMYFUNCTION("""COMPUTED_VALUE"""),"")</f>
        <v/>
      </c>
      <c r="O358" s="66">
        <f>IFERROR(__xludf.DUMMYFUNCTION("""COMPUTED_VALUE"""),0.0)</f>
        <v>0</v>
      </c>
      <c r="P358" s="67"/>
      <c r="Q358" s="68">
        <f>IFERROR(__xludf.DUMMYFUNCTION("""COMPUTED_VALUE"""),250.0)</f>
        <v>250</v>
      </c>
      <c r="R358" s="85" t="str">
        <f>IFERROR(__xludf.DUMMYFUNCTION("""COMPUTED_VALUE"""),"Cantor")</f>
        <v>Cantor</v>
      </c>
      <c r="S358" s="64">
        <f>IFERROR(__xludf.DUMMYFUNCTION("""COMPUTED_VALUE"""),45086.0)</f>
        <v>45086</v>
      </c>
      <c r="T358" s="70" t="str">
        <f>IFERROR(__xludf.DUMMYFUNCTION("""COMPUTED_VALUE"""),"")</f>
        <v/>
      </c>
      <c r="U358" s="71" t="str">
        <f>IFERROR(__xludf.DUMMYFUNCTION("""COMPUTED_VALUE"""),"https://www.sec.gov/cgi-bin/browse-edgar?CIK=1845368")</f>
        <v>https://www.sec.gov/cgi-bin/browse-edgar?CIK=1845368</v>
      </c>
      <c r="V358" s="72" t="str">
        <f>IFERROR(__xludf.DUMMYFUNCTION("""COMPUTED_VALUE"""),"            ")</f>
        <v>            </v>
      </c>
      <c r="W358" s="73"/>
      <c r="X358" s="74"/>
      <c r="Y358" s="75"/>
      <c r="Z358" s="60"/>
      <c r="AA358" s="60"/>
      <c r="AB358" s="60"/>
      <c r="AC358" s="60"/>
      <c r="AD358" s="73"/>
      <c r="AE358" s="73"/>
      <c r="AF358" s="76"/>
      <c r="AG358" s="60"/>
    </row>
    <row r="359">
      <c r="A359" s="54" t="str">
        <f>IFERROR(__xludf.DUMMYFUNCTION("""COMPUTED_VALUE"""),"HCNE")</f>
        <v>HCNE</v>
      </c>
      <c r="B359" s="55" t="str">
        <f>IFERROR(__xludf.DUMMYFUNCTION("""COMPUTED_VALUE"""),"Jaws Hurricane Acquisition Corp")</f>
        <v>Jaws Hurricane Acquisition Corp</v>
      </c>
      <c r="C359" s="56" t="str">
        <f>IFERROR(__xludf.DUMMYFUNCTION("""COMPUTED_VALUE"""),"Pre IPO")</f>
        <v>Pre IPO</v>
      </c>
      <c r="D359" s="77" t="str">
        <f>IFERROR(__xludf.DUMMYFUNCTION("""COMPUTED_VALUE"""),"Consumer Tech")</f>
        <v>Consumer Tech</v>
      </c>
      <c r="E359" s="58"/>
      <c r="F359" s="59" t="str">
        <f>IFERROR(__xludf.DUMMYFUNCTION("""COMPUTED_VALUE"""),"Barry Sternlicht (Chairman and CEO of Starwood Capital)")</f>
        <v>Barry Sternlicht (Chairman and CEO of Starwood Capital)</v>
      </c>
      <c r="G359" s="60">
        <f>IFERROR(__xludf.DUMMYFUNCTION("""COMPUTED_VALUE"""),2.5E8)</f>
        <v>250000000</v>
      </c>
      <c r="H359" s="60" t="str">
        <f>IFERROR(__xludf.DUMMYFUNCTION("""COMPUTED_VALUE""")," ")</f>
        <v> </v>
      </c>
      <c r="I359" s="61" t="str">
        <f>IFERROR(__xludf.DUMMYFUNCTION("""COMPUTED_VALUE""")," ")</f>
        <v> </v>
      </c>
      <c r="J359" s="62" t="str">
        <f>IFERROR(__xludf.DUMMYFUNCTION("""COMPUTED_VALUE""")," ")</f>
        <v> </v>
      </c>
      <c r="K359" s="59" t="str">
        <f>IFERROR(__xludf.DUMMYFUNCTION("""COMPUTED_VALUE""")," ")</f>
        <v> </v>
      </c>
      <c r="L359" s="63" t="str">
        <f>IFERROR(__xludf.DUMMYFUNCTION("""COMPUTED_VALUE""")," ")</f>
        <v> </v>
      </c>
      <c r="M359" s="64" t="str">
        <f>IFERROR(__xludf.DUMMYFUNCTION("""COMPUTED_VALUE"""),"U: [1/4 W]; W: [1:1, $11.5]")</f>
        <v>U: [1/4 W]; W: [1:1, $11.5]</v>
      </c>
      <c r="N359" s="65" t="str">
        <f>IFERROR(__xludf.DUMMYFUNCTION("""COMPUTED_VALUE"""),"")</f>
        <v/>
      </c>
      <c r="O359" s="66">
        <f>IFERROR(__xludf.DUMMYFUNCTION("""COMPUTED_VALUE"""),0.0)</f>
        <v>0</v>
      </c>
      <c r="P359" s="67"/>
      <c r="Q359" s="68">
        <f>IFERROR(__xludf.DUMMYFUNCTION("""COMPUTED_VALUE"""),250.0)</f>
        <v>250</v>
      </c>
      <c r="R359" s="69" t="str">
        <f>IFERROR(__xludf.DUMMYFUNCTION("""COMPUTED_VALUE"""),"Credit Suisse")</f>
        <v>Credit Suisse</v>
      </c>
      <c r="S359" s="64">
        <f>IFERROR(__xludf.DUMMYFUNCTION("""COMPUTED_VALUE"""),45086.0)</f>
        <v>45086</v>
      </c>
      <c r="T359" s="70" t="str">
        <f>IFERROR(__xludf.DUMMYFUNCTION("""COMPUTED_VALUE"""),"")</f>
        <v/>
      </c>
      <c r="U359" s="71" t="str">
        <f>IFERROR(__xludf.DUMMYFUNCTION("""COMPUTED_VALUE"""),"https://www.sec.gov/cgi-bin/browse-edgar?CIK=1843205")</f>
        <v>https://www.sec.gov/cgi-bin/browse-edgar?CIK=1843205</v>
      </c>
      <c r="V359" s="72" t="str">
        <f>IFERROR(__xludf.DUMMYFUNCTION("""COMPUTED_VALUE"""),"         Well-known Sponsor Serial Sponsor  ")</f>
        <v>         Well-known Sponsor Serial Sponsor  </v>
      </c>
      <c r="W359" s="73"/>
      <c r="X359" s="74"/>
      <c r="Y359" s="75"/>
      <c r="Z359" s="60"/>
      <c r="AA359" s="60"/>
      <c r="AB359" s="60"/>
      <c r="AC359" s="60"/>
      <c r="AD359" s="73"/>
      <c r="AE359" s="73"/>
      <c r="AF359" s="76"/>
      <c r="AG359" s="60"/>
    </row>
    <row r="360">
      <c r="A360" s="54" t="str">
        <f>IFERROR(__xludf.DUMMYFUNCTION("""COMPUTED_VALUE"""),"HCVI")</f>
        <v>HCVI</v>
      </c>
      <c r="B360" s="55" t="str">
        <f>IFERROR(__xludf.DUMMYFUNCTION("""COMPUTED_VALUE"""),"Hennessy Capital Investment Corp. VI")</f>
        <v>Hennessy Capital Investment Corp. VI</v>
      </c>
      <c r="C360" s="56" t="str">
        <f>IFERROR(__xludf.DUMMYFUNCTION("""COMPUTED_VALUE"""),"Pre IPO")</f>
        <v>Pre IPO</v>
      </c>
      <c r="D360" s="77" t="str">
        <f>IFERROR(__xludf.DUMMYFUNCTION("""COMPUTED_VALUE"""),"Industrial Tech")</f>
        <v>Industrial Tech</v>
      </c>
      <c r="E360" s="58"/>
      <c r="F360" s="59" t="str">
        <f>IFERROR(__xludf.DUMMYFUNCTION("""COMPUTED_VALUE"""),"Daniel Hennessy (Managing Member of Hennessy Capital Group), Anna Brunelle (CFO of Ouster)")</f>
        <v>Daniel Hennessy (Managing Member of Hennessy Capital Group), Anna Brunelle (CFO of Ouster)</v>
      </c>
      <c r="G360" s="60">
        <f>IFERROR(__xludf.DUMMYFUNCTION("""COMPUTED_VALUE"""),2.0E8)</f>
        <v>200000000</v>
      </c>
      <c r="H360" s="60" t="str">
        <f>IFERROR(__xludf.DUMMYFUNCTION("""COMPUTED_VALUE""")," ")</f>
        <v> </v>
      </c>
      <c r="I360" s="61" t="str">
        <f>IFERROR(__xludf.DUMMYFUNCTION("""COMPUTED_VALUE""")," ")</f>
        <v> </v>
      </c>
      <c r="J360" s="62" t="str">
        <f>IFERROR(__xludf.DUMMYFUNCTION("""COMPUTED_VALUE""")," ")</f>
        <v> </v>
      </c>
      <c r="K360" s="59" t="str">
        <f>IFERROR(__xludf.DUMMYFUNCTION("""COMPUTED_VALUE""")," ")</f>
        <v> </v>
      </c>
      <c r="L360" s="63" t="str">
        <f>IFERROR(__xludf.DUMMYFUNCTION("""COMPUTED_VALUE""")," ")</f>
        <v> </v>
      </c>
      <c r="M360" s="64" t="str">
        <f>IFERROR(__xludf.DUMMYFUNCTION("""COMPUTED_VALUE"""),"U: [1/5 W]; W: [1:1, $11.5]")</f>
        <v>U: [1/5 W]; W: [1:1, $11.5]</v>
      </c>
      <c r="N360" s="65" t="str">
        <f>IFERROR(__xludf.DUMMYFUNCTION("""COMPUTED_VALUE"""),"")</f>
        <v/>
      </c>
      <c r="O360" s="66">
        <f>IFERROR(__xludf.DUMMYFUNCTION("""COMPUTED_VALUE"""),0.0)</f>
        <v>0</v>
      </c>
      <c r="P360" s="67"/>
      <c r="Q360" s="68">
        <f>IFERROR(__xludf.DUMMYFUNCTION("""COMPUTED_VALUE"""),200.0)</f>
        <v>200</v>
      </c>
      <c r="R360" s="69" t="str">
        <f>IFERROR(__xludf.DUMMYFUNCTION("""COMPUTED_VALUE"""),"Citigroup, Barclays")</f>
        <v>Citigroup, Barclays</v>
      </c>
      <c r="S360" s="64">
        <f>IFERROR(__xludf.DUMMYFUNCTION("""COMPUTED_VALUE"""),45086.0)</f>
        <v>45086</v>
      </c>
      <c r="T360" s="70" t="str">
        <f>IFERROR(__xludf.DUMMYFUNCTION("""COMPUTED_VALUE"""),"")</f>
        <v/>
      </c>
      <c r="U360" s="71" t="str">
        <f>IFERROR(__xludf.DUMMYFUNCTION("""COMPUTED_VALUE"""),"https://www.sec.gov/cgi-bin/browse-edgar?CIK=1842937")</f>
        <v>https://www.sec.gov/cgi-bin/browse-edgar?CIK=1842937</v>
      </c>
      <c r="V360" s="72" t="str">
        <f>IFERROR(__xludf.DUMMYFUNCTION("""COMPUTED_VALUE"""),"          Serial Sponsor Top Tier UW ")</f>
        <v>          Serial Sponsor Top Tier UW </v>
      </c>
      <c r="W360" s="73"/>
      <c r="X360" s="74"/>
      <c r="Y360" s="75"/>
      <c r="Z360" s="60"/>
      <c r="AA360" s="60"/>
      <c r="AB360" s="60"/>
      <c r="AC360" s="60"/>
      <c r="AD360" s="73"/>
      <c r="AE360" s="73"/>
      <c r="AF360" s="76"/>
      <c r="AG360" s="60"/>
    </row>
    <row r="361">
      <c r="A361" s="54" t="str">
        <f>IFERROR(__xludf.DUMMYFUNCTION("""COMPUTED_VALUE"""),"HCXX")</f>
        <v>HCXX</v>
      </c>
      <c r="B361" s="55" t="str">
        <f>IFERROR(__xludf.DUMMYFUNCTION("""COMPUTED_VALUE"""),"Healthcare Merger Corp. II")</f>
        <v>Healthcare Merger Corp. II</v>
      </c>
      <c r="C361" s="56" t="str">
        <f>IFERROR(__xludf.DUMMYFUNCTION("""COMPUTED_VALUE"""),"Pre IPO")</f>
        <v>Pre IPO</v>
      </c>
      <c r="D361" s="77" t="str">
        <f>IFERROR(__xludf.DUMMYFUNCTION("""COMPUTED_VALUE"""),"Healthcare")</f>
        <v>Healthcare</v>
      </c>
      <c r="E361" s="58"/>
      <c r="F361" s="59" t="str">
        <f>IFERROR(__xludf.DUMMYFUNCTION("""COMPUTED_VALUE"""),"Steven Shulman (Fmr CEO &amp; Chairman, Magellan; Director, SOC Telemed), William Sanger (Co-founder, BIDON Companies; Fmr Chairman, Envision Healthcare)")</f>
        <v>Steven Shulman (Fmr CEO &amp; Chairman, Magellan; Director, SOC Telemed), William Sanger (Co-founder, BIDON Companies; Fmr Chairman, Envision Healthcare)</v>
      </c>
      <c r="G361" s="60">
        <f>IFERROR(__xludf.DUMMYFUNCTION("""COMPUTED_VALUE"""),3.0E8)</f>
        <v>300000000</v>
      </c>
      <c r="H361" s="60" t="str">
        <f>IFERROR(__xludf.DUMMYFUNCTION("""COMPUTED_VALUE""")," ")</f>
        <v> </v>
      </c>
      <c r="I361" s="61" t="str">
        <f>IFERROR(__xludf.DUMMYFUNCTION("""COMPUTED_VALUE""")," ")</f>
        <v> </v>
      </c>
      <c r="J361" s="62" t="str">
        <f>IFERROR(__xludf.DUMMYFUNCTION("""COMPUTED_VALUE""")," ")</f>
        <v> </v>
      </c>
      <c r="K361" s="59" t="str">
        <f>IFERROR(__xludf.DUMMYFUNCTION("""COMPUTED_VALUE""")," ")</f>
        <v> </v>
      </c>
      <c r="L361" s="63" t="str">
        <f>IFERROR(__xludf.DUMMYFUNCTION("""COMPUTED_VALUE""")," ")</f>
        <v> </v>
      </c>
      <c r="M361" s="64" t="str">
        <f>IFERROR(__xludf.DUMMYFUNCTION("""COMPUTED_VALUE"""),"U: [1/3 W]; W: [1:1, $11.5]")</f>
        <v>U: [1/3 W]; W: [1:1, $11.5]</v>
      </c>
      <c r="N361" s="65" t="str">
        <f>IFERROR(__xludf.DUMMYFUNCTION("""COMPUTED_VALUE"""),"")</f>
        <v/>
      </c>
      <c r="O361" s="66">
        <f>IFERROR(__xludf.DUMMYFUNCTION("""COMPUTED_VALUE"""),0.0)</f>
        <v>0</v>
      </c>
      <c r="P361" s="67"/>
      <c r="Q361" s="68">
        <f>IFERROR(__xludf.DUMMYFUNCTION("""COMPUTED_VALUE"""),300.0)</f>
        <v>300</v>
      </c>
      <c r="R361" s="69" t="str">
        <f>IFERROR(__xludf.DUMMYFUNCTION("""COMPUTED_VALUE"""),"Cantor")</f>
        <v>Cantor</v>
      </c>
      <c r="S361" s="64">
        <f>IFERROR(__xludf.DUMMYFUNCTION("""COMPUTED_VALUE"""),45086.0)</f>
        <v>45086</v>
      </c>
      <c r="T361" s="70" t="str">
        <f>IFERROR(__xludf.DUMMYFUNCTION("""COMPUTED_VALUE"""),"")</f>
        <v/>
      </c>
      <c r="U361" s="71" t="str">
        <f>IFERROR(__xludf.DUMMYFUNCTION("""COMPUTED_VALUE"""),"https://www.sec.gov/cgi-bin/browse-edgar?CIK=1821768")</f>
        <v>https://www.sec.gov/cgi-bin/browse-edgar?CIK=1821768</v>
      </c>
      <c r="V361" s="72" t="str">
        <f>IFERROR(__xludf.DUMMYFUNCTION("""COMPUTED_VALUE"""),"            ")</f>
        <v>            </v>
      </c>
      <c r="W361" s="73"/>
      <c r="X361" s="74"/>
      <c r="Y361" s="75"/>
      <c r="Z361" s="60"/>
      <c r="AA361" s="60"/>
      <c r="AB361" s="60"/>
      <c r="AC361" s="60"/>
      <c r="AD361" s="73"/>
      <c r="AE361" s="73"/>
      <c r="AF361" s="76"/>
      <c r="AG361" s="60"/>
    </row>
    <row r="362">
      <c r="A362" s="54" t="str">
        <f>IFERROR(__xludf.DUMMYFUNCTION("""COMPUTED_VALUE"""),"HEC")</f>
        <v>HEC</v>
      </c>
      <c r="B362" s="55" t="str">
        <f>IFERROR(__xludf.DUMMYFUNCTION("""COMPUTED_VALUE"""),"Hudson Executive Investment")</f>
        <v>Hudson Executive Investment</v>
      </c>
      <c r="C362" s="56" t="str">
        <f>IFERROR(__xludf.DUMMYFUNCTION("""COMPUTED_VALUE"""),"Definitive Agreement")</f>
        <v>Definitive Agreement</v>
      </c>
      <c r="D362" s="57" t="str">
        <f>IFERROR(__xludf.DUMMYFUNCTION("""COMPUTED_VALUE"""),"Fintech, Healthcare")</f>
        <v>Fintech, Healthcare</v>
      </c>
      <c r="E362" s="58" t="str">
        <f>IFERROR(__xludf.DUMMYFUNCTION("""COMPUTED_VALUE"""),"Talkspace [DA: 01/13/21]")</f>
        <v>Talkspace [DA: 01/13/21]</v>
      </c>
      <c r="F362" s="59"/>
      <c r="G362" s="60">
        <f>IFERROR(__xludf.DUMMYFUNCTION("""COMPUTED_VALUE"""),4.14228281E8)</f>
        <v>414228281</v>
      </c>
      <c r="H362" s="60">
        <f>IFERROR(__xludf.DUMMYFUNCTION("""COMPUTED_VALUE"""),4.11102E8)</f>
        <v>411102000</v>
      </c>
      <c r="I362" s="61">
        <f>IFERROR(__xludf.DUMMYFUNCTION("""COMPUTED_VALUE"""),9.93)</f>
        <v>9.93</v>
      </c>
      <c r="J362" s="62">
        <f>IFERROR(__xludf.DUMMYFUNCTION("""COMPUTED_VALUE"""),-0.00201)</f>
        <v>-0.00201</v>
      </c>
      <c r="K362" s="59" t="str">
        <f>IFERROR(__xludf.DUMMYFUNCTION("""COMPUTED_VALUE""")," ")</f>
        <v> </v>
      </c>
      <c r="L362" s="63" t="str">
        <f>IFERROR(__xludf.DUMMYFUNCTION("""COMPUTED_VALUE""")," ")</f>
        <v> </v>
      </c>
      <c r="M362" s="64" t="str">
        <f>IFERROR(__xludf.DUMMYFUNCTION("""COMPUTED_VALUE"""),"U: [1/2 W]; W: [1:1, $11.5]")</f>
        <v>U: [1/2 W]; W: [1:1, $11.5]</v>
      </c>
      <c r="N362" s="65" t="str">
        <f>IFERROR(__xludf.DUMMYFUNCTION("""COMPUTED_VALUE"""),"")</f>
        <v/>
      </c>
      <c r="O362" s="66">
        <f>IFERROR(__xludf.DUMMYFUNCTION("""COMPUTED_VALUE"""),0.0)</f>
        <v>0</v>
      </c>
      <c r="P362" s="67">
        <f>IFERROR(__xludf.DUMMYFUNCTION("""COMPUTED_VALUE"""),43991.0)</f>
        <v>43991</v>
      </c>
      <c r="Q362" s="68">
        <f>IFERROR(__xludf.DUMMYFUNCTION("""COMPUTED_VALUE"""),414.0)</f>
        <v>414</v>
      </c>
      <c r="R362" s="69" t="str">
        <f>IFERROR(__xludf.DUMMYFUNCTION("""COMPUTED_VALUE"""),"Citigroup, JP Morgan")</f>
        <v>Citigroup, JP Morgan</v>
      </c>
      <c r="S362" s="64">
        <f>IFERROR(__xludf.DUMMYFUNCTION("""COMPUTED_VALUE"""),44721.0)</f>
        <v>44721</v>
      </c>
      <c r="T362" s="70">
        <f>IFERROR(__xludf.DUMMYFUNCTION("""COMPUTED_VALUE"""),0.4178082191780822)</f>
        <v>0.4178082192</v>
      </c>
      <c r="U362" s="71" t="str">
        <f>IFERROR(__xludf.DUMMYFUNCTION("""COMPUTED_VALUE"""),"https://www.sec.gov/cgi-bin/browse-edgar?CIK=1803901")</f>
        <v>https://www.sec.gov/cgi-bin/browse-edgar?CIK=1803901</v>
      </c>
      <c r="V362" s="72" t="str">
        <f>IFERROR(__xludf.DUMMYFUNCTION("""COMPUTED_VALUE""")," Trading Below $10 (Common)          Top Tier UW ")</f>
        <v> Trading Below $10 (Common)          Top Tier UW </v>
      </c>
      <c r="W362" s="73">
        <f>IFERROR(__xludf.DUMMYFUNCTION("""COMPUTED_VALUE"""),44209.0)</f>
        <v>44209</v>
      </c>
      <c r="X362" s="79">
        <f>IFERROR(__xludf.DUMMYFUNCTION("""COMPUTED_VALUE"""),7.266666666666667)</f>
        <v>7.266666667</v>
      </c>
      <c r="Y362" s="80" t="str">
        <f>IFERROR(__xludf.DUMMYFUNCTION("""COMPUTED_VALUE"""),"https://www.prnewswire.com/news-releases/talkspace-to-merge-with-hudson-executive-investment-corp-forming-the-only-publicly-traded-pure-play-virtual-behavioral-health-company-301207080.html")</f>
        <v>https://www.prnewswire.com/news-releases/talkspace-to-merge-with-hudson-executive-investment-corp-forming-the-only-publicly-traded-pure-play-virtual-behavioral-health-company-301207080.html</v>
      </c>
      <c r="Z362" s="81" t="str">
        <f>IFERROR(__xludf.DUMMYFUNCTION("""COMPUTED_VALUE"""),"https://img1.wsimg.com/blobby/go/9e6e6b86-a97f-4cf9-bd84-1140064c1b3b/downloads/Talkspace%20Investor%20Presentation%20-%20January%202021.pdf?ver=1610536708770")</f>
        <v>https://img1.wsimg.com/blobby/go/9e6e6b86-a97f-4cf9-bd84-1140064c1b3b/downloads/Talkspace%20Investor%20Presentation%20-%20January%202021.pdf?ver=1610536708770</v>
      </c>
      <c r="AA362" s="60">
        <f>IFERROR(__xludf.DUMMYFUNCTION("""COMPUTED_VALUE"""),3.0E8)</f>
        <v>300000000</v>
      </c>
      <c r="AB362" s="60">
        <f>IFERROR(__xludf.DUMMYFUNCTION("""COMPUTED_VALUE"""),1.65E9)</f>
        <v>1650000000</v>
      </c>
      <c r="AC362" s="60">
        <f>IFERROR(__xludf.DUMMYFUNCTION("""COMPUTED_VALUE"""),1.4E9)</f>
        <v>1400000000</v>
      </c>
      <c r="AD362" s="73"/>
      <c r="AE362" s="73"/>
      <c r="AF362" s="76">
        <f>IFERROR(__xludf.DUMMYFUNCTION("""COMPUTED_VALUE"""),1.65E8)</f>
        <v>165000000</v>
      </c>
      <c r="AG362" s="60">
        <f>IFERROR(__xludf.DUMMYFUNCTION("""COMPUTED_VALUE"""),1.63845E9)</f>
        <v>1638450000</v>
      </c>
    </row>
    <row r="363">
      <c r="A363" s="54" t="str">
        <f>IFERROR(__xludf.DUMMYFUNCTION("""COMPUTED_VALUE"""),"HERA")</f>
        <v>HERA</v>
      </c>
      <c r="B363" s="55" t="str">
        <f>IFERROR(__xludf.DUMMYFUNCTION("""COMPUTED_VALUE"""),"FTAC Hera Acquisition Corp.")</f>
        <v>FTAC Hera Acquisition Corp.</v>
      </c>
      <c r="C363" s="56" t="str">
        <f>IFERROR(__xludf.DUMMYFUNCTION("""COMPUTED_VALUE"""),"Searching (Pre Unit Split)")</f>
        <v>Searching (Pre Unit Split)</v>
      </c>
      <c r="D363" s="77" t="str">
        <f>IFERROR(__xludf.DUMMYFUNCTION("""COMPUTED_VALUE"""),"Tech, Fintech")</f>
        <v>Tech, Fintech</v>
      </c>
      <c r="E363" s="58"/>
      <c r="F363" s="59" t="str">
        <f>IFERROR(__xludf.DUMMYFUNCTION("""COMPUTED_VALUE"""),"Betsy Cohen (Founder/Fmr CEO Bancorp; Director, FinTech Acquisition I, II, III)")</f>
        <v>Betsy Cohen (Founder/Fmr CEO Bancorp; Director, FinTech Acquisition I, II, III)</v>
      </c>
      <c r="G363" s="60">
        <f>IFERROR(__xludf.DUMMYFUNCTION("""COMPUTED_VALUE"""),8.514776E8)</f>
        <v>851477600</v>
      </c>
      <c r="H363" s="60" t="str">
        <f>IFERROR(__xludf.DUMMYFUNCTION("""COMPUTED_VALUE""")," ")</f>
        <v> </v>
      </c>
      <c r="I363" s="61" t="str">
        <f>IFERROR(__xludf.DUMMYFUNCTION("""COMPUTED_VALUE""")," ")</f>
        <v> </v>
      </c>
      <c r="J363" s="62" t="str">
        <f>IFERROR(__xludf.DUMMYFUNCTION("""COMPUTED_VALUE""")," ")</f>
        <v> </v>
      </c>
      <c r="K363" s="59">
        <f>IFERROR(__xludf.DUMMYFUNCTION("""COMPUTED_VALUE"""),10.08)</f>
        <v>10.08</v>
      </c>
      <c r="L363" s="63" t="str">
        <f>IFERROR(__xludf.DUMMYFUNCTION("""COMPUTED_VALUE""")," ")</f>
        <v> </v>
      </c>
      <c r="M363" s="64" t="str">
        <f>IFERROR(__xludf.DUMMYFUNCTION("""COMPUTED_VALUE"""),"U: [1/4 W]; W: [1:1, $11.5]")</f>
        <v>U: [1/4 W]; W: [1:1, $11.5]</v>
      </c>
      <c r="N363" s="65">
        <f>IFERROR(__xludf.DUMMYFUNCTION("""COMPUTED_VALUE"""),44310.0)</f>
        <v>44310</v>
      </c>
      <c r="O363" s="66" t="str">
        <f>IFERROR(__xludf.DUMMYFUNCTION("""COMPUTED_VALUE"""),"")</f>
        <v/>
      </c>
      <c r="P363" s="67">
        <f>IFERROR(__xludf.DUMMYFUNCTION("""COMPUTED_VALUE"""),44258.0)</f>
        <v>44258</v>
      </c>
      <c r="Q363" s="68">
        <f>IFERROR(__xludf.DUMMYFUNCTION("""COMPUTED_VALUE"""),851.4776)</f>
        <v>851.4776</v>
      </c>
      <c r="R363" s="69" t="str">
        <f>IFERROR(__xludf.DUMMYFUNCTION("""COMPUTED_VALUE"""),"Citigroup, J.P. Morgan")</f>
        <v>Citigroup, J.P. Morgan</v>
      </c>
      <c r="S363" s="64">
        <f>IFERROR(__xludf.DUMMYFUNCTION("""COMPUTED_VALUE"""),44988.0)</f>
        <v>44988</v>
      </c>
      <c r="T363" s="70">
        <f>IFERROR(__xludf.DUMMYFUNCTION("""COMPUTED_VALUE"""),0.052054794520547946)</f>
        <v>0.05205479452</v>
      </c>
      <c r="U363" s="71" t="str">
        <f>IFERROR(__xludf.DUMMYFUNCTION("""COMPUTED_VALUE"""),"https://www.sec.gov/cgi-bin/browse-edgar?CIK=1842912")</f>
        <v>https://www.sec.gov/cgi-bin/browse-edgar?CIK=1842912</v>
      </c>
      <c r="V363" s="72" t="str">
        <f>IFERROR(__xludf.DUMMYFUNCTION("""COMPUTED_VALUE"""),"   $500M+ Trust      Serial Sponsor Top Tier UW ")</f>
        <v>   $500M+ Trust      Serial Sponsor Top Tier UW </v>
      </c>
      <c r="W363" s="73"/>
      <c r="X363" s="74"/>
      <c r="Y363" s="75"/>
      <c r="Z363" s="60"/>
      <c r="AA363" s="60"/>
      <c r="AB363" s="60"/>
      <c r="AC363" s="60"/>
      <c r="AD363" s="73"/>
      <c r="AE363" s="73"/>
      <c r="AF363" s="76"/>
      <c r="AG363" s="60" t="str">
        <f>IFERROR(__xludf.DUMMYFUNCTION("""COMPUTED_VALUE"""),"")</f>
        <v/>
      </c>
    </row>
    <row r="364">
      <c r="A364" s="54" t="str">
        <f>IFERROR(__xludf.DUMMYFUNCTION("""COMPUTED_VALUE"""),"HHGC")</f>
        <v>HHGC</v>
      </c>
      <c r="B364" s="55" t="str">
        <f>IFERROR(__xludf.DUMMYFUNCTION("""COMPUTED_VALUE"""),"HHG Capital Corp")</f>
        <v>HHG Capital Corp</v>
      </c>
      <c r="C364" s="56" t="str">
        <f>IFERROR(__xludf.DUMMYFUNCTION("""COMPUTED_VALUE"""),"Pre IPO")</f>
        <v>Pre IPO</v>
      </c>
      <c r="D364" s="57"/>
      <c r="E364" s="58"/>
      <c r="F364" s="59"/>
      <c r="G364" s="60">
        <f>IFERROR(__xludf.DUMMYFUNCTION("""COMPUTED_VALUE"""),5.0E7)</f>
        <v>50000000</v>
      </c>
      <c r="H364" s="60" t="str">
        <f>IFERROR(__xludf.DUMMYFUNCTION("""COMPUTED_VALUE""")," ")</f>
        <v> </v>
      </c>
      <c r="I364" s="61" t="str">
        <f>IFERROR(__xludf.DUMMYFUNCTION("""COMPUTED_VALUE""")," ")</f>
        <v> </v>
      </c>
      <c r="J364" s="62" t="str">
        <f>IFERROR(__xludf.DUMMYFUNCTION("""COMPUTED_VALUE""")," ")</f>
        <v> </v>
      </c>
      <c r="K364" s="59" t="str">
        <f>IFERROR(__xludf.DUMMYFUNCTION("""COMPUTED_VALUE""")," ")</f>
        <v> </v>
      </c>
      <c r="L364" s="63" t="str">
        <f>IFERROR(__xludf.DUMMYFUNCTION("""COMPUTED_VALUE""")," ")</f>
        <v> </v>
      </c>
      <c r="M364" s="64" t="str">
        <f>IFERROR(__xludf.DUMMYFUNCTION("""COMPUTED_VALUE"""),"U: [1 W]; W: [2:1, $11.5]")</f>
        <v>U: [1 W]; W: [2:1, $11.5]</v>
      </c>
      <c r="N364" s="65" t="str">
        <f>IFERROR(__xludf.DUMMYFUNCTION("""COMPUTED_VALUE"""),"")</f>
        <v/>
      </c>
      <c r="O364" s="66" t="str">
        <f>IFERROR(__xludf.DUMMYFUNCTION("""COMPUTED_VALUE"""),"")</f>
        <v/>
      </c>
      <c r="P364" s="67"/>
      <c r="Q364" s="68">
        <f>IFERROR(__xludf.DUMMYFUNCTION("""COMPUTED_VALUE"""),50.0)</f>
        <v>50</v>
      </c>
      <c r="R364" s="69" t="str">
        <f>IFERROR(__xludf.DUMMYFUNCTION("""COMPUTED_VALUE"""),"Kingswood Capital Markets, Brookline Capital Markets")</f>
        <v>Kingswood Capital Markets, Brookline Capital Markets</v>
      </c>
      <c r="S364" s="64">
        <f>IFERROR(__xludf.DUMMYFUNCTION("""COMPUTED_VALUE"""),45086.0)</f>
        <v>45086</v>
      </c>
      <c r="T364" s="70" t="str">
        <f>IFERROR(__xludf.DUMMYFUNCTION("""COMPUTED_VALUE"""),"")</f>
        <v/>
      </c>
      <c r="U364" s="71" t="str">
        <f>IFERROR(__xludf.DUMMYFUNCTION("""COMPUTED_VALUE"""),"https://www.sec.gov/cgi-bin/browse-edgar?CIK=1822886")</f>
        <v>https://www.sec.gov/cgi-bin/browse-edgar?CIK=1822886</v>
      </c>
      <c r="V364" s="72" t="str">
        <f>IFERROR(__xludf.DUMMYFUNCTION("""COMPUTED_VALUE"""),"            ")</f>
        <v>            </v>
      </c>
      <c r="W364" s="73"/>
      <c r="X364" s="74"/>
      <c r="Y364" s="75"/>
      <c r="Z364" s="60"/>
      <c r="AA364" s="60"/>
      <c r="AB364" s="60"/>
      <c r="AC364" s="60"/>
      <c r="AD364" s="73"/>
      <c r="AE364" s="73"/>
      <c r="AF364" s="76"/>
      <c r="AG364" s="60"/>
    </row>
    <row r="365">
      <c r="A365" s="54" t="str">
        <f>IFERROR(__xludf.DUMMYFUNCTION("""COMPUTED_VALUE"""),"HHLA")</f>
        <v>HHLA</v>
      </c>
      <c r="B365" s="55" t="str">
        <f>IFERROR(__xludf.DUMMYFUNCTION("""COMPUTED_VALUE"""),"HH&amp;L Acquisition Co.
")</f>
        <v>HH&amp;L Acquisition Co.
</v>
      </c>
      <c r="C365" s="56" t="str">
        <f>IFERROR(__xludf.DUMMYFUNCTION("""COMPUTED_VALUE"""),"Searching")</f>
        <v>Searching</v>
      </c>
      <c r="D365" s="57" t="str">
        <f>IFERROR(__xludf.DUMMYFUNCTION("""COMPUTED_VALUE"""),"Healthcare, Asia (Focus on China)")</f>
        <v>Healthcare, Asia (Focus on China)</v>
      </c>
      <c r="E365" s="58"/>
      <c r="F365" s="59"/>
      <c r="G365" s="60">
        <f>IFERROR(__xludf.DUMMYFUNCTION("""COMPUTED_VALUE"""),4.14E8)</f>
        <v>414000000</v>
      </c>
      <c r="H365" s="60"/>
      <c r="I365" s="61">
        <f>IFERROR(__xludf.DUMMYFUNCTION("""COMPUTED_VALUE"""),9.95)</f>
        <v>9.95</v>
      </c>
      <c r="J365" s="62">
        <f>IFERROR(__xludf.DUMMYFUNCTION("""COMPUTED_VALUE"""),0.01015)</f>
        <v>0.01015</v>
      </c>
      <c r="K365" s="59">
        <f>IFERROR(__xludf.DUMMYFUNCTION("""COMPUTED_VALUE"""),10.3)</f>
        <v>10.3</v>
      </c>
      <c r="L365" s="63">
        <f>IFERROR(__xludf.DUMMYFUNCTION("""COMPUTED_VALUE"""),0.82)</f>
        <v>0.82</v>
      </c>
      <c r="M365" s="64" t="str">
        <f>IFERROR(__xludf.DUMMYFUNCTION("""COMPUTED_VALUE"""),"U: [1/2 W]; W: [1:1, $11.5]")</f>
        <v>U: [1/2 W]; W: [1:1, $11.5]</v>
      </c>
      <c r="N365" s="65" t="str">
        <f>IFERROR(__xludf.DUMMYFUNCTION("""COMPUTED_VALUE"""),"")</f>
        <v/>
      </c>
      <c r="O365" s="66">
        <f>IFERROR(__xludf.DUMMYFUNCTION("""COMPUTED_VALUE"""),0.0)</f>
        <v>0</v>
      </c>
      <c r="P365" s="67">
        <f>IFERROR(__xludf.DUMMYFUNCTION("""COMPUTED_VALUE"""),44232.0)</f>
        <v>44232</v>
      </c>
      <c r="Q365" s="68">
        <f>IFERROR(__xludf.DUMMYFUNCTION("""COMPUTED_VALUE"""),414.0)</f>
        <v>414</v>
      </c>
      <c r="R365" s="69" t="str">
        <f>IFERROR(__xludf.DUMMYFUNCTION("""COMPUTED_VALUE"""),"Golman Sachs (Asia), Credit Suisse")</f>
        <v>Golman Sachs (Asia), Credit Suisse</v>
      </c>
      <c r="S365" s="64">
        <f>IFERROR(__xludf.DUMMYFUNCTION("""COMPUTED_VALUE"""),44962.0)</f>
        <v>44962</v>
      </c>
      <c r="T365" s="70">
        <f>IFERROR(__xludf.DUMMYFUNCTION("""COMPUTED_VALUE"""),0.08767123287671233)</f>
        <v>0.08767123288</v>
      </c>
      <c r="U365" s="71" t="str">
        <f>IFERROR(__xludf.DUMMYFUNCTION("""COMPUTED_VALUE"""),"https://www.sec.gov/cgi-bin/browse-edgar?CIK=1824185")</f>
        <v>https://www.sec.gov/cgi-bin/browse-edgar?CIK=1824185</v>
      </c>
      <c r="V365" s="72" t="str">
        <f>IFERROR(__xludf.DUMMYFUNCTION("""COMPUTED_VALUE""")," Trading Below $10 (Common)           ")</f>
        <v> Trading Below $10 (Common)           </v>
      </c>
      <c r="W365" s="73"/>
      <c r="X365" s="74"/>
      <c r="Y365" s="75"/>
      <c r="Z365" s="60"/>
      <c r="AA365" s="60"/>
      <c r="AB365" s="60"/>
      <c r="AC365" s="60"/>
      <c r="AD365" s="73"/>
      <c r="AE365" s="73"/>
      <c r="AF365" s="76"/>
      <c r="AG365" s="60" t="str">
        <f>IFERROR(__xludf.DUMMYFUNCTION("""COMPUTED_VALUE"""),"")</f>
        <v/>
      </c>
    </row>
    <row r="366">
      <c r="A366" s="54" t="str">
        <f>IFERROR(__xludf.DUMMYFUNCTION("""COMPUTED_VALUE"""),"HIGA")</f>
        <v>HIGA</v>
      </c>
      <c r="B366" s="55" t="str">
        <f>IFERROR(__xludf.DUMMYFUNCTION("""COMPUTED_VALUE"""),"H.I.G. Acquisition Corp.")</f>
        <v>H.I.G. Acquisition Corp.</v>
      </c>
      <c r="C366" s="56" t="str">
        <f>IFERROR(__xludf.DUMMYFUNCTION("""COMPUTED_VALUE"""),"Searching")</f>
        <v>Searching</v>
      </c>
      <c r="D366" s="57"/>
      <c r="E366" s="58"/>
      <c r="F366" s="59" t="str">
        <f>IFERROR(__xludf.DUMMYFUNCTION("""COMPUTED_VALUE"""),"Sidney Taurel (Fmr CEO, Eli Lily; Director, IBM), William Mitchell (Director, Veritiv &amp; Humana)")</f>
        <v>Sidney Taurel (Fmr CEO, Eli Lily; Director, IBM), William Mitchell (Director, Veritiv &amp; Humana)</v>
      </c>
      <c r="G366" s="60">
        <f>IFERROR(__xludf.DUMMYFUNCTION("""COMPUTED_VALUE"""),3.63951287E8)</f>
        <v>363951287</v>
      </c>
      <c r="H366" s="60">
        <f>IFERROR(__xludf.DUMMYFUNCTION("""COMPUTED_VALUE"""),3.64308945E8)</f>
        <v>364308945</v>
      </c>
      <c r="I366" s="61">
        <f>IFERROR(__xludf.DUMMYFUNCTION("""COMPUTED_VALUE"""),10.01)</f>
        <v>10.01</v>
      </c>
      <c r="J366" s="62">
        <f>IFERROR(__xludf.DUMMYFUNCTION("""COMPUTED_VALUE"""),0.002)</f>
        <v>0.002</v>
      </c>
      <c r="K366" s="59">
        <f>IFERROR(__xludf.DUMMYFUNCTION("""COMPUTED_VALUE"""),10.31)</f>
        <v>10.31</v>
      </c>
      <c r="L366" s="63">
        <f>IFERROR(__xludf.DUMMYFUNCTION("""COMPUTED_VALUE"""),1.0301)</f>
        <v>1.0301</v>
      </c>
      <c r="M366" s="64" t="str">
        <f>IFERROR(__xludf.DUMMYFUNCTION("""COMPUTED_VALUE"""),"U: [1/3 W]; W: [1:1, $11.5]")</f>
        <v>U: [1/3 W]; W: [1:1, $11.5]</v>
      </c>
      <c r="N366" s="65" t="str">
        <f>IFERROR(__xludf.DUMMYFUNCTION("""COMPUTED_VALUE"""),"")</f>
        <v/>
      </c>
      <c r="O366" s="66">
        <f>IFERROR(__xludf.DUMMYFUNCTION("""COMPUTED_VALUE"""),0.0)</f>
        <v>0</v>
      </c>
      <c r="P366" s="67">
        <f>IFERROR(__xludf.DUMMYFUNCTION("""COMPUTED_VALUE"""),44124.0)</f>
        <v>44124</v>
      </c>
      <c r="Q366" s="68">
        <f>IFERROR(__xludf.DUMMYFUNCTION("""COMPUTED_VALUE"""),363.945)</f>
        <v>363.945</v>
      </c>
      <c r="R366" s="69" t="str">
        <f>IFERROR(__xludf.DUMMYFUNCTION("""COMPUTED_VALUE"""),"Credit Suisse, Morgan Stanley, BofA Securities")</f>
        <v>Credit Suisse, Morgan Stanley, BofA Securities</v>
      </c>
      <c r="S366" s="64">
        <f>IFERROR(__xludf.DUMMYFUNCTION("""COMPUTED_VALUE"""),44854.0)</f>
        <v>44854</v>
      </c>
      <c r="T366" s="70">
        <f>IFERROR(__xludf.DUMMYFUNCTION("""COMPUTED_VALUE"""),0.2356164383561644)</f>
        <v>0.2356164384</v>
      </c>
      <c r="U366" s="71" t="str">
        <f>IFERROR(__xludf.DUMMYFUNCTION("""COMPUTED_VALUE"""),"https://www.sec.gov/cgi-bin/browse-edgar?CIK=1823776")</f>
        <v>https://www.sec.gov/cgi-bin/browse-edgar?CIK=1823776</v>
      </c>
      <c r="V366" s="72" t="str">
        <f>IFERROR(__xludf.DUMMYFUNCTION("""COMPUTED_VALUE"""),"         Well-known Sponsor  Top Tier UW ")</f>
        <v>         Well-known Sponsor  Top Tier UW </v>
      </c>
      <c r="W366" s="73"/>
      <c r="X366" s="74"/>
      <c r="Y366" s="75"/>
      <c r="Z366" s="60"/>
      <c r="AA366" s="60"/>
      <c r="AB366" s="60"/>
      <c r="AC366" s="60"/>
      <c r="AD366" s="73"/>
      <c r="AE366" s="73"/>
      <c r="AF366" s="76"/>
      <c r="AG366" s="60" t="str">
        <f>IFERROR(__xludf.DUMMYFUNCTION("""COMPUTED_VALUE"""),"")</f>
        <v/>
      </c>
    </row>
    <row r="367">
      <c r="A367" s="56" t="str">
        <f>IFERROR(__xludf.DUMMYFUNCTION("""COMPUTED_VALUE"""),"HIGB")</f>
        <v>HIGB</v>
      </c>
      <c r="B367" s="55" t="str">
        <f>IFERROR(__xludf.DUMMYFUNCTION("""COMPUTED_VALUE"""),"H.I.G. Acquisition Corp. II")</f>
        <v>H.I.G. Acquisition Corp. II</v>
      </c>
      <c r="C367" s="78" t="str">
        <f>IFERROR(__xludf.DUMMYFUNCTION("""COMPUTED_VALUE"""),"Pre IPO")</f>
        <v>Pre IPO</v>
      </c>
      <c r="D367" s="57"/>
      <c r="E367" s="58"/>
      <c r="F367" s="59"/>
      <c r="G367" s="60">
        <f>IFERROR(__xludf.DUMMYFUNCTION("""COMPUTED_VALUE"""),3.0E8)</f>
        <v>300000000</v>
      </c>
      <c r="H367" s="60" t="str">
        <f>IFERROR(__xludf.DUMMYFUNCTION("""COMPUTED_VALUE""")," ")</f>
        <v> </v>
      </c>
      <c r="I367" s="61" t="str">
        <f>IFERROR(__xludf.DUMMYFUNCTION("""COMPUTED_VALUE""")," ")</f>
        <v> </v>
      </c>
      <c r="J367" s="62" t="str">
        <f>IFERROR(__xludf.DUMMYFUNCTION("""COMPUTED_VALUE""")," ")</f>
        <v> </v>
      </c>
      <c r="K367" s="59" t="str">
        <f>IFERROR(__xludf.DUMMYFUNCTION("""COMPUTED_VALUE""")," ")</f>
        <v> </v>
      </c>
      <c r="L367" s="63" t="str">
        <f>IFERROR(__xludf.DUMMYFUNCTION("""COMPUTED_VALUE""")," ")</f>
        <v> </v>
      </c>
      <c r="M367" s="64" t="str">
        <f>IFERROR(__xludf.DUMMYFUNCTION("""COMPUTED_VALUE"""),"U: [1/4 W]; W: [1:1, $11.5]")</f>
        <v>U: [1/4 W]; W: [1:1, $11.5]</v>
      </c>
      <c r="N367" s="65" t="str">
        <f>IFERROR(__xludf.DUMMYFUNCTION("""COMPUTED_VALUE"""),"")</f>
        <v/>
      </c>
      <c r="O367" s="66">
        <f>IFERROR(__xludf.DUMMYFUNCTION("""COMPUTED_VALUE"""),0.0)</f>
        <v>0</v>
      </c>
      <c r="P367" s="67"/>
      <c r="Q367" s="68">
        <f>IFERROR(__xludf.DUMMYFUNCTION("""COMPUTED_VALUE"""),300.0)</f>
        <v>300</v>
      </c>
      <c r="R367" s="69" t="str">
        <f>IFERROR(__xludf.DUMMYFUNCTION("""COMPUTED_VALUE"""),"Jefferies, UBS Investment Bank")</f>
        <v>Jefferies, UBS Investment Bank</v>
      </c>
      <c r="S367" s="64">
        <f>IFERROR(__xludf.DUMMYFUNCTION("""COMPUTED_VALUE"""),45086.0)</f>
        <v>45086</v>
      </c>
      <c r="T367" s="70" t="str">
        <f>IFERROR(__xludf.DUMMYFUNCTION("""COMPUTED_VALUE"""),"")</f>
        <v/>
      </c>
      <c r="U367" s="71" t="str">
        <f>IFERROR(__xludf.DUMMYFUNCTION("""COMPUTED_VALUE"""),"https://www.sec.gov/cgi-bin/browse-edgar?CIK=1850311")</f>
        <v>https://www.sec.gov/cgi-bin/browse-edgar?CIK=1850311</v>
      </c>
      <c r="V367" s="72" t="str">
        <f>IFERROR(__xludf.DUMMYFUNCTION("""COMPUTED_VALUE"""),"            ")</f>
        <v>            </v>
      </c>
      <c r="W367" s="73"/>
      <c r="X367" s="74"/>
      <c r="Y367" s="75"/>
      <c r="Z367" s="60"/>
      <c r="AA367" s="60"/>
      <c r="AB367" s="60"/>
      <c r="AC367" s="60"/>
      <c r="AD367" s="73"/>
      <c r="AE367" s="73"/>
      <c r="AF367" s="76"/>
      <c r="AG367" s="60"/>
    </row>
    <row r="368">
      <c r="A368" s="54" t="str">
        <f>IFERROR(__xludf.DUMMYFUNCTION("""COMPUTED_VALUE"""),"HIII")</f>
        <v>HIII</v>
      </c>
      <c r="B368" s="55" t="str">
        <f>IFERROR(__xludf.DUMMYFUNCTION("""COMPUTED_VALUE"""),"Hudson Executive Investment Corp. III")</f>
        <v>Hudson Executive Investment Corp. III</v>
      </c>
      <c r="C368" s="56" t="str">
        <f>IFERROR(__xludf.DUMMYFUNCTION("""COMPUTED_VALUE"""),"Searching (Pre Unit Split)")</f>
        <v>Searching (Pre Unit Split)</v>
      </c>
      <c r="D368" s="77" t="str">
        <f>IFERROR(__xludf.DUMMYFUNCTION("""COMPUTED_VALUE"""),"Tech")</f>
        <v>Tech</v>
      </c>
      <c r="E368" s="58"/>
      <c r="F368" s="59" t="str">
        <f>IFERROR(__xludf.DUMMYFUNCTION("""COMPUTED_VALUE"""),"
")</f>
        <v>
</v>
      </c>
      <c r="G368" s="60">
        <f>IFERROR(__xludf.DUMMYFUNCTION("""COMPUTED_VALUE"""),6.0E8)</f>
        <v>600000000</v>
      </c>
      <c r="H368" s="60" t="str">
        <f>IFERROR(__xludf.DUMMYFUNCTION("""COMPUTED_VALUE""")," ")</f>
        <v> </v>
      </c>
      <c r="I368" s="61" t="str">
        <f>IFERROR(__xludf.DUMMYFUNCTION("""COMPUTED_VALUE""")," ")</f>
        <v> </v>
      </c>
      <c r="J368" s="62" t="str">
        <f>IFERROR(__xludf.DUMMYFUNCTION("""COMPUTED_VALUE""")," ")</f>
        <v> </v>
      </c>
      <c r="K368" s="59">
        <f>IFERROR(__xludf.DUMMYFUNCTION("""COMPUTED_VALUE"""),9.96)</f>
        <v>9.96</v>
      </c>
      <c r="L368" s="63" t="str">
        <f>IFERROR(__xludf.DUMMYFUNCTION("""COMPUTED_VALUE""")," ")</f>
        <v> </v>
      </c>
      <c r="M368" s="64" t="str">
        <f>IFERROR(__xludf.DUMMYFUNCTION("""COMPUTED_VALUE"""),"U: [1/5 W]; W: [1:1, $11.5]")</f>
        <v>U: [1/5 W]; W: [1:1, $11.5]</v>
      </c>
      <c r="N368" s="65">
        <f>IFERROR(__xludf.DUMMYFUNCTION("""COMPUTED_VALUE"""),44303.0)</f>
        <v>44303</v>
      </c>
      <c r="O368" s="66" t="str">
        <f>IFERROR(__xludf.DUMMYFUNCTION("""COMPUTED_VALUE"""),"")</f>
        <v/>
      </c>
      <c r="P368" s="67">
        <f>IFERROR(__xludf.DUMMYFUNCTION("""COMPUTED_VALUE"""),44251.0)</f>
        <v>44251</v>
      </c>
      <c r="Q368" s="68">
        <f>IFERROR(__xludf.DUMMYFUNCTION("""COMPUTED_VALUE"""),600.0)</f>
        <v>600</v>
      </c>
      <c r="R368" s="85" t="str">
        <f>IFERROR(__xludf.DUMMYFUNCTION("""COMPUTED_VALUE"""),"Citigroup, J.P. Morgan, Barclays")</f>
        <v>Citigroup, J.P. Morgan, Barclays</v>
      </c>
      <c r="S368" s="64">
        <f>IFERROR(__xludf.DUMMYFUNCTION("""COMPUTED_VALUE"""),44981.0)</f>
        <v>44981</v>
      </c>
      <c r="T368" s="70">
        <f>IFERROR(__xludf.DUMMYFUNCTION("""COMPUTED_VALUE"""),0.06164383561643835)</f>
        <v>0.06164383562</v>
      </c>
      <c r="U368" s="71" t="str">
        <f>IFERROR(__xludf.DUMMYFUNCTION("""COMPUTED_VALUE"""),"https://www.sec.gov/cgi-bin/browse-edgar?CIK=1823034")</f>
        <v>https://www.sec.gov/cgi-bin/browse-edgar?CIK=1823034</v>
      </c>
      <c r="V368" s="72" t="str">
        <f>IFERROR(__xludf.DUMMYFUNCTION("""COMPUTED_VALUE"""),"   $500M+ Trust       Top Tier UW ")</f>
        <v>   $500M+ Trust       Top Tier UW </v>
      </c>
      <c r="W368" s="73"/>
      <c r="X368" s="74"/>
      <c r="Y368" s="75"/>
      <c r="Z368" s="60"/>
      <c r="AA368" s="60"/>
      <c r="AB368" s="60"/>
      <c r="AC368" s="60"/>
      <c r="AD368" s="73"/>
      <c r="AE368" s="73"/>
      <c r="AF368" s="76"/>
      <c r="AG368" s="60" t="str">
        <f>IFERROR(__xludf.DUMMYFUNCTION("""COMPUTED_VALUE"""),"")</f>
        <v/>
      </c>
    </row>
    <row r="369">
      <c r="A369" s="54" t="str">
        <f>IFERROR(__xludf.DUMMYFUNCTION("""COMPUTED_VALUE"""),"HLAH")</f>
        <v>HLAH</v>
      </c>
      <c r="B369" s="55" t="str">
        <f>IFERROR(__xludf.DUMMYFUNCTION("""COMPUTED_VALUE"""),"Hamilton Lane Alliance Holdings I, Inc.")</f>
        <v>Hamilton Lane Alliance Holdings I, Inc.</v>
      </c>
      <c r="C369" s="56" t="str">
        <f>IFERROR(__xludf.DUMMYFUNCTION("""COMPUTED_VALUE"""),"Searching")</f>
        <v>Searching</v>
      </c>
      <c r="D369" s="57"/>
      <c r="E369" s="58"/>
      <c r="F369" s="59"/>
      <c r="G369" s="60">
        <f>IFERROR(__xludf.DUMMYFUNCTION("""COMPUTED_VALUE"""),2.76E8)</f>
        <v>276000000</v>
      </c>
      <c r="H369" s="60">
        <f>IFERROR(__xludf.DUMMYFUNCTION("""COMPUTED_VALUE"""),2.75724E8)</f>
        <v>275724000</v>
      </c>
      <c r="I369" s="61">
        <f>IFERROR(__xludf.DUMMYFUNCTION("""COMPUTED_VALUE"""),9.99)</f>
        <v>9.99</v>
      </c>
      <c r="J369" s="62">
        <f>IFERROR(__xludf.DUMMYFUNCTION("""COMPUTED_VALUE"""),0.01939)</f>
        <v>0.01939</v>
      </c>
      <c r="K369" s="59">
        <f>IFERROR(__xludf.DUMMYFUNCTION("""COMPUTED_VALUE"""),10.08)</f>
        <v>10.08</v>
      </c>
      <c r="L369" s="63">
        <f>IFERROR(__xludf.DUMMYFUNCTION("""COMPUTED_VALUE"""),0.87)</f>
        <v>0.87</v>
      </c>
      <c r="M369" s="64" t="str">
        <f>IFERROR(__xludf.DUMMYFUNCTION("""COMPUTED_VALUE"""),"U: [1/3 W]; W: [1:1, $11.5]")</f>
        <v>U: [1/3 W]; W: [1:1, $11.5]</v>
      </c>
      <c r="N369" s="65" t="str">
        <f>IFERROR(__xludf.DUMMYFUNCTION("""COMPUTED_VALUE"""),"")</f>
        <v/>
      </c>
      <c r="O369" s="66">
        <f>IFERROR(__xludf.DUMMYFUNCTION("""COMPUTED_VALUE"""),0.0)</f>
        <v>0</v>
      </c>
      <c r="P369" s="67">
        <f>IFERROR(__xludf.DUMMYFUNCTION("""COMPUTED_VALUE"""),44208.0)</f>
        <v>44208</v>
      </c>
      <c r="Q369" s="68">
        <f>IFERROR(__xludf.DUMMYFUNCTION("""COMPUTED_VALUE"""),276.0)</f>
        <v>276</v>
      </c>
      <c r="R369" s="85" t="str">
        <f>IFERROR(__xludf.DUMMYFUNCTION("""COMPUTED_VALUE"""),"JP Morgan, Morgan Stanley")</f>
        <v>JP Morgan, Morgan Stanley</v>
      </c>
      <c r="S369" s="64">
        <f>IFERROR(__xludf.DUMMYFUNCTION("""COMPUTED_VALUE"""),44938.0)</f>
        <v>44938</v>
      </c>
      <c r="T369" s="70">
        <f>IFERROR(__xludf.DUMMYFUNCTION("""COMPUTED_VALUE"""),0.12054794520547946)</f>
        <v>0.1205479452</v>
      </c>
      <c r="U369" s="71" t="str">
        <f>IFERROR(__xludf.DUMMYFUNCTION("""COMPUTED_VALUE"""),"https://www.sec.gov/cgi-bin/browse-edgar?CIK=1826814")</f>
        <v>https://www.sec.gov/cgi-bin/browse-edgar?CIK=1826814</v>
      </c>
      <c r="V369" s="72" t="str">
        <f>IFERROR(__xludf.DUMMYFUNCTION("""COMPUTED_VALUE""")," Trading Below $10 (Common)          Top Tier UW ")</f>
        <v> Trading Below $10 (Common)          Top Tier UW </v>
      </c>
      <c r="W369" s="73"/>
      <c r="X369" s="74"/>
      <c r="Y369" s="75"/>
      <c r="Z369" s="60"/>
      <c r="AA369" s="60"/>
      <c r="AB369" s="60"/>
      <c r="AC369" s="60"/>
      <c r="AD369" s="73"/>
      <c r="AE369" s="73"/>
      <c r="AF369" s="76"/>
      <c r="AG369" s="60" t="str">
        <f>IFERROR(__xludf.DUMMYFUNCTION("""COMPUTED_VALUE"""),"")</f>
        <v/>
      </c>
    </row>
    <row r="370">
      <c r="A370" s="54" t="str">
        <f>IFERROR(__xludf.DUMMYFUNCTION("""COMPUTED_VALUE"""),"HLXA")</f>
        <v>HLXA</v>
      </c>
      <c r="B370" s="55" t="str">
        <f>IFERROR(__xludf.DUMMYFUNCTION("""COMPUTED_VALUE"""),"Helix Acquisition Corp")</f>
        <v>Helix Acquisition Corp</v>
      </c>
      <c r="C370" s="56" t="str">
        <f>IFERROR(__xludf.DUMMYFUNCTION("""COMPUTED_VALUE"""),"Searching")</f>
        <v>Searching</v>
      </c>
      <c r="D370" s="77" t="str">
        <f>IFERROR(__xludf.DUMMYFUNCTION("""COMPUTED_VALUE"""),"Healthcare")</f>
        <v>Healthcare</v>
      </c>
      <c r="E370" s="58" t="str">
        <f>IFERROR(__xludf.DUMMYFUNCTION("""COMPUTED_VALUE"""),"  ")</f>
        <v>  </v>
      </c>
      <c r="F370" s="59"/>
      <c r="G370" s="60">
        <f>IFERROR(__xludf.DUMMYFUNCTION("""COMPUTED_VALUE"""),1.15014917E8)</f>
        <v>115014917</v>
      </c>
      <c r="H370" s="60">
        <f>IFERROR(__xludf.DUMMYFUNCTION("""COMPUTED_VALUE"""),1.218053E8)</f>
        <v>121805300</v>
      </c>
      <c r="I370" s="61">
        <f>IFERROR(__xludf.DUMMYFUNCTION("""COMPUTED_VALUE"""),10.21)</f>
        <v>10.21</v>
      </c>
      <c r="J370" s="62">
        <f>IFERROR(__xludf.DUMMYFUNCTION("""COMPUTED_VALUE"""),-0.01921)</f>
        <v>-0.01921</v>
      </c>
      <c r="K370" s="59" t="str">
        <f>IFERROR(__xludf.DUMMYFUNCTION("""COMPUTED_VALUE""")," ")</f>
        <v> </v>
      </c>
      <c r="L370" s="63" t="str">
        <f>IFERROR(__xludf.DUMMYFUNCTION("""COMPUTED_VALUE""")," ")</f>
        <v> </v>
      </c>
      <c r="M370" s="64" t="str">
        <f>IFERROR(__xludf.DUMMYFUNCTION("""COMPUTED_VALUE"""),"U: [No units]; W: [No warrants]")</f>
        <v>U: [No units]; W: [No warrants]</v>
      </c>
      <c r="N370" s="65" t="str">
        <f>IFERROR(__xludf.DUMMYFUNCTION("""COMPUTED_VALUE"""),"")</f>
        <v/>
      </c>
      <c r="O370" s="66" t="str">
        <f>IFERROR(__xludf.DUMMYFUNCTION("""COMPUTED_VALUE"""),"")</f>
        <v/>
      </c>
      <c r="P370" s="67">
        <f>IFERROR(__xludf.DUMMYFUNCTION("""COMPUTED_VALUE"""),44123.0)</f>
        <v>44123</v>
      </c>
      <c r="Q370" s="68">
        <f>IFERROR(__xludf.DUMMYFUNCTION("""COMPUTED_VALUE"""),115.0)</f>
        <v>115</v>
      </c>
      <c r="R370" s="69" t="str">
        <f>IFERROR(__xludf.DUMMYFUNCTION("""COMPUTED_VALUE"""),"Jefferies")</f>
        <v>Jefferies</v>
      </c>
      <c r="S370" s="64">
        <f>IFERROR(__xludf.DUMMYFUNCTION("""COMPUTED_VALUE"""),44853.0)</f>
        <v>44853</v>
      </c>
      <c r="T370" s="70">
        <f>IFERROR(__xludf.DUMMYFUNCTION("""COMPUTED_VALUE"""),0.236986301369863)</f>
        <v>0.2369863014</v>
      </c>
      <c r="U370" s="71" t="str">
        <f>IFERROR(__xludf.DUMMYFUNCTION("""COMPUTED_VALUE"""),"https://www.sec.gov/cgi-bin/browse-edgar?CIK=1821586")</f>
        <v>https://www.sec.gov/cgi-bin/browse-edgar?CIK=1821586</v>
      </c>
      <c r="V370" s="72" t="str">
        <f>IFERROR(__xludf.DUMMYFUNCTION("""COMPUTED_VALUE"""),"            ")</f>
        <v>            </v>
      </c>
      <c r="W370" s="73"/>
      <c r="X370" s="74"/>
      <c r="Y370" s="75"/>
      <c r="Z370" s="60"/>
      <c r="AA370" s="60"/>
      <c r="AB370" s="60"/>
      <c r="AC370" s="60"/>
      <c r="AD370" s="73"/>
      <c r="AE370" s="73"/>
      <c r="AF370" s="76"/>
      <c r="AG370" s="60" t="str">
        <f>IFERROR(__xludf.DUMMYFUNCTION("""COMPUTED_VALUE"""),"")</f>
        <v/>
      </c>
    </row>
    <row r="371">
      <c r="A371" s="54" t="str">
        <f>IFERROR(__xludf.DUMMYFUNCTION("""COMPUTED_VALUE"""),"HMCO")</f>
        <v>HMCO</v>
      </c>
      <c r="B371" s="55" t="str">
        <f>IFERROR(__xludf.DUMMYFUNCTION("""COMPUTED_VALUE"""),"HumanCo Acquisition Corp.")</f>
        <v>HumanCo Acquisition Corp.</v>
      </c>
      <c r="C371" s="56" t="str">
        <f>IFERROR(__xludf.DUMMYFUNCTION("""COMPUTED_VALUE"""),"Searching")</f>
        <v>Searching</v>
      </c>
      <c r="D371" s="57" t="str">
        <f>IFERROR(__xludf.DUMMYFUNCTION("""COMPUTED_VALUE"""),"Health and Wellness")</f>
        <v>Health and Wellness</v>
      </c>
      <c r="E371" s="58"/>
      <c r="F371" s="59" t="str">
        <f>IFERROR(__xludf.DUMMYFUNCTION("""COMPUTED_VALUE"""),"Kat Cole (COO, Focus Brands), Brian Kelly (Fmr CEO, Keurig Green Mountain)")</f>
        <v>Kat Cole (COO, Focus Brands), Brian Kelly (Fmr CEO, Keurig Green Mountain)</v>
      </c>
      <c r="G371" s="60">
        <f>IFERROR(__xludf.DUMMYFUNCTION("""COMPUTED_VALUE"""),3.125E8)</f>
        <v>312500000</v>
      </c>
      <c r="H371" s="60">
        <f>IFERROR(__xludf.DUMMYFUNCTION("""COMPUTED_VALUE"""),3.15625E8)</f>
        <v>315625000</v>
      </c>
      <c r="I371" s="61">
        <f>IFERROR(__xludf.DUMMYFUNCTION("""COMPUTED_VALUE"""),10.1)</f>
        <v>10.1</v>
      </c>
      <c r="J371" s="62">
        <f>IFERROR(__xludf.DUMMYFUNCTION("""COMPUTED_VALUE"""),-0.00493)</f>
        <v>-0.00493</v>
      </c>
      <c r="K371" s="59">
        <f>IFERROR(__xludf.DUMMYFUNCTION("""COMPUTED_VALUE"""),10.76)</f>
        <v>10.76</v>
      </c>
      <c r="L371" s="63">
        <f>IFERROR(__xludf.DUMMYFUNCTION("""COMPUTED_VALUE"""),1.63)</f>
        <v>1.63</v>
      </c>
      <c r="M371" s="64" t="str">
        <f>IFERROR(__xludf.DUMMYFUNCTION("""COMPUTED_VALUE"""),"U: [1/2 W]; W: [1:1, $11.5]")</f>
        <v>U: [1/2 W]; W: [1:1, $11.5]</v>
      </c>
      <c r="N371" s="65" t="str">
        <f>IFERROR(__xludf.DUMMYFUNCTION("""COMPUTED_VALUE"""),"")</f>
        <v/>
      </c>
      <c r="O371" s="66">
        <f>IFERROR(__xludf.DUMMYFUNCTION("""COMPUTED_VALUE"""),0.0)</f>
        <v>0</v>
      </c>
      <c r="P371" s="67">
        <f>IFERROR(__xludf.DUMMYFUNCTION("""COMPUTED_VALUE"""),44174.0)</f>
        <v>44174</v>
      </c>
      <c r="Q371" s="68">
        <f>IFERROR(__xludf.DUMMYFUNCTION("""COMPUTED_VALUE"""),312.5)</f>
        <v>312.5</v>
      </c>
      <c r="R371" s="85" t="str">
        <f>IFERROR(__xludf.DUMMYFUNCTION("""COMPUTED_VALUE"""),"Citigroup")</f>
        <v>Citigroup</v>
      </c>
      <c r="S371" s="64">
        <f>IFERROR(__xludf.DUMMYFUNCTION("""COMPUTED_VALUE"""),44904.0)</f>
        <v>44904</v>
      </c>
      <c r="T371" s="70">
        <f>IFERROR(__xludf.DUMMYFUNCTION("""COMPUTED_VALUE"""),0.16712328767123288)</f>
        <v>0.1671232877</v>
      </c>
      <c r="U371" s="71" t="str">
        <f>IFERROR(__xludf.DUMMYFUNCTION("""COMPUTED_VALUE"""),"https://www.sec.gov/cgi-bin/browse-edgar?CIK=1829042")</f>
        <v>https://www.sec.gov/cgi-bin/browse-edgar?CIK=1829042</v>
      </c>
      <c r="V371" s="72" t="str">
        <f>IFERROR(__xludf.DUMMYFUNCTION("""COMPUTED_VALUE"""),"           Top Tier UW ")</f>
        <v>           Top Tier UW </v>
      </c>
      <c r="W371" s="73"/>
      <c r="X371" s="74"/>
      <c r="Y371" s="75"/>
      <c r="Z371" s="60"/>
      <c r="AA371" s="60"/>
      <c r="AB371" s="60"/>
      <c r="AC371" s="60"/>
      <c r="AD371" s="73"/>
      <c r="AE371" s="73"/>
      <c r="AF371" s="76"/>
      <c r="AG371" s="60" t="str">
        <f>IFERROR(__xludf.DUMMYFUNCTION("""COMPUTED_VALUE"""),"")</f>
        <v/>
      </c>
    </row>
    <row r="372">
      <c r="A372" s="54" t="str">
        <f>IFERROR(__xludf.DUMMYFUNCTION("""COMPUTED_VALUE"""),"HNRA")</f>
        <v>HNRA</v>
      </c>
      <c r="B372" s="55" t="str">
        <f>IFERROR(__xludf.DUMMYFUNCTION("""COMPUTED_VALUE"""),"HNR Acquisition Corp.")</f>
        <v>HNR Acquisition Corp.</v>
      </c>
      <c r="C372" s="56" t="str">
        <f>IFERROR(__xludf.DUMMYFUNCTION("""COMPUTED_VALUE"""),"Pre IPO")</f>
        <v>Pre IPO</v>
      </c>
      <c r="D372" s="77" t="str">
        <f>IFERROR(__xludf.DUMMYFUNCTION("""COMPUTED_VALUE"""),"Natural Gas (North America)")</f>
        <v>Natural Gas (North America)</v>
      </c>
      <c r="E372" s="58"/>
      <c r="F372" s="59"/>
      <c r="G372" s="60">
        <f>IFERROR(__xludf.DUMMYFUNCTION("""COMPUTED_VALUE"""),1.0E8)</f>
        <v>100000000</v>
      </c>
      <c r="H372" s="60" t="str">
        <f>IFERROR(__xludf.DUMMYFUNCTION("""COMPUTED_VALUE""")," ")</f>
        <v> </v>
      </c>
      <c r="I372" s="61" t="str">
        <f>IFERROR(__xludf.DUMMYFUNCTION("""COMPUTED_VALUE""")," ")</f>
        <v> </v>
      </c>
      <c r="J372" s="62" t="str">
        <f>IFERROR(__xludf.DUMMYFUNCTION("""COMPUTED_VALUE""")," ")</f>
        <v> </v>
      </c>
      <c r="K372" s="59" t="str">
        <f>IFERROR(__xludf.DUMMYFUNCTION("""COMPUTED_VALUE""")," ")</f>
        <v> </v>
      </c>
      <c r="L372" s="63" t="str">
        <f>IFERROR(__xludf.DUMMYFUNCTION("""COMPUTED_VALUE""")," ")</f>
        <v> </v>
      </c>
      <c r="M372" s="64" t="str">
        <f>IFERROR(__xludf.DUMMYFUNCTION("""COMPUTED_VALUE"""),"U: [1 W, 1 R (1/10 sh)]; W: [2:1, $11.5]")</f>
        <v>U: [1 W, 1 R (1/10 sh)]; W: [2:1, $11.5]</v>
      </c>
      <c r="N372" s="65" t="str">
        <f>IFERROR(__xludf.DUMMYFUNCTION("""COMPUTED_VALUE"""),"")</f>
        <v/>
      </c>
      <c r="O372" s="66" t="str">
        <f>IFERROR(__xludf.DUMMYFUNCTION("""COMPUTED_VALUE"""),"")</f>
        <v/>
      </c>
      <c r="P372" s="67"/>
      <c r="Q372" s="68">
        <f>IFERROR(__xludf.DUMMYFUNCTION("""COMPUTED_VALUE"""),100.0)</f>
        <v>100</v>
      </c>
      <c r="R372" s="69" t="str">
        <f>IFERROR(__xludf.DUMMYFUNCTION("""COMPUTED_VALUE"""),"Kingswood Capital Markets")</f>
        <v>Kingswood Capital Markets</v>
      </c>
      <c r="S372" s="64">
        <f>IFERROR(__xludf.DUMMYFUNCTION("""COMPUTED_VALUE"""),45086.0)</f>
        <v>45086</v>
      </c>
      <c r="T372" s="70" t="str">
        <f>IFERROR(__xludf.DUMMYFUNCTION("""COMPUTED_VALUE"""),"")</f>
        <v/>
      </c>
      <c r="U372" s="71" t="str">
        <f>IFERROR(__xludf.DUMMYFUNCTION("""COMPUTED_VALUE"""),"https://www.sec.gov/cgi-bin/browse-edgar?CIK=1842556")</f>
        <v>https://www.sec.gov/cgi-bin/browse-edgar?CIK=1842556</v>
      </c>
      <c r="V372" s="72" t="str">
        <f>IFERROR(__xludf.DUMMYFUNCTION("""COMPUTED_VALUE"""),"       Has Rights     ")</f>
        <v>       Has Rights     </v>
      </c>
      <c r="W372" s="73"/>
      <c r="X372" s="74"/>
      <c r="Y372" s="75"/>
      <c r="Z372" s="60"/>
      <c r="AA372" s="60"/>
      <c r="AB372" s="60"/>
      <c r="AC372" s="60"/>
      <c r="AD372" s="73"/>
      <c r="AE372" s="73"/>
      <c r="AF372" s="76"/>
      <c r="AG372" s="60" t="str">
        <f>IFERROR(__xludf.DUMMYFUNCTION("""COMPUTED_VALUE"""),"")</f>
        <v/>
      </c>
    </row>
    <row r="373">
      <c r="A373" s="54" t="str">
        <f>IFERROR(__xludf.DUMMYFUNCTION("""COMPUTED_VALUE"""),"HOL")</f>
        <v>HOL</v>
      </c>
      <c r="B373" s="55" t="str">
        <f>IFERROR(__xludf.DUMMYFUNCTION("""COMPUTED_VALUE"""),"Holicity Inc.")</f>
        <v>Holicity Inc.</v>
      </c>
      <c r="C373" s="56" t="str">
        <f>IFERROR(__xludf.DUMMYFUNCTION("""COMPUTED_VALUE"""),"Definitive Agreement")</f>
        <v>Definitive Agreement</v>
      </c>
      <c r="D373" s="57" t="str">
        <f>IFERROR(__xludf.DUMMYFUNCTION("""COMPUTED_VALUE"""),"Tech, Media, Telecom")</f>
        <v>Tech, Media, Telecom</v>
      </c>
      <c r="E373" s="58" t="str">
        <f>IFERROR(__xludf.DUMMYFUNCTION("""COMPUTED_VALUE"""),"Astra [DA: 02/02/21]")</f>
        <v>Astra [DA: 02/02/21]</v>
      </c>
      <c r="F373" s="59" t="str">
        <f>IFERROR(__xludf.DUMMYFUNCTION("""COMPUTED_VALUE"""),"Craig McCaw (Founder, McCaw Cellular and Clearwire Corp)")</f>
        <v>Craig McCaw (Founder, McCaw Cellular and Clearwire Corp)</v>
      </c>
      <c r="G373" s="60">
        <f>IFERROR(__xludf.DUMMYFUNCTION("""COMPUTED_VALUE"""),3.0E8)</f>
        <v>300000000</v>
      </c>
      <c r="H373" s="60">
        <f>IFERROR(__xludf.DUMMYFUNCTION("""COMPUTED_VALUE"""),3.228E8)</f>
        <v>322800000</v>
      </c>
      <c r="I373" s="61">
        <f>IFERROR(__xludf.DUMMYFUNCTION("""COMPUTED_VALUE"""),10.76)</f>
        <v>10.76</v>
      </c>
      <c r="J373" s="62">
        <f>IFERROR(__xludf.DUMMYFUNCTION("""COMPUTED_VALUE"""),-0.01012)</f>
        <v>-0.01012</v>
      </c>
      <c r="K373" s="59" t="str">
        <f>IFERROR(__xludf.DUMMYFUNCTION("""COMPUTED_VALUE""")," ")</f>
        <v> </v>
      </c>
      <c r="L373" s="63" t="str">
        <f>IFERROR(__xludf.DUMMYFUNCTION("""COMPUTED_VALUE""")," ")</f>
        <v> </v>
      </c>
      <c r="M373" s="64" t="str">
        <f>IFERROR(__xludf.DUMMYFUNCTION("""COMPUTED_VALUE"""),"U: [1/3 W]; W: [1:1, $11.5]")</f>
        <v>U: [1/3 W]; W: [1:1, $11.5]</v>
      </c>
      <c r="N373" s="65" t="str">
        <f>IFERROR(__xludf.DUMMYFUNCTION("""COMPUTED_VALUE"""),"")</f>
        <v/>
      </c>
      <c r="O373" s="66">
        <f>IFERROR(__xludf.DUMMYFUNCTION("""COMPUTED_VALUE"""),0.0)</f>
        <v>0</v>
      </c>
      <c r="P373" s="67">
        <f>IFERROR(__xludf.DUMMYFUNCTION("""COMPUTED_VALUE"""),44048.0)</f>
        <v>44048</v>
      </c>
      <c r="Q373" s="68">
        <f>IFERROR(__xludf.DUMMYFUNCTION("""COMPUTED_VALUE"""),300.0)</f>
        <v>300</v>
      </c>
      <c r="R373" s="69" t="str">
        <f>IFERROR(__xludf.DUMMYFUNCTION("""COMPUTED_VALUE"""),"Deutsche Bank, BofA Securities")</f>
        <v>Deutsche Bank, BofA Securities</v>
      </c>
      <c r="S373" s="64">
        <f>IFERROR(__xludf.DUMMYFUNCTION("""COMPUTED_VALUE"""),44778.0)</f>
        <v>44778</v>
      </c>
      <c r="T373" s="70">
        <f>IFERROR(__xludf.DUMMYFUNCTION("""COMPUTED_VALUE"""),0.33972602739726027)</f>
        <v>0.3397260274</v>
      </c>
      <c r="U373" s="71" t="str">
        <f>IFERROR(__xludf.DUMMYFUNCTION("""COMPUTED_VALUE"""),"https://www.sec.gov/cgi-bin/browse-edgar?CIK=1814329")</f>
        <v>https://www.sec.gov/cgi-bin/browse-edgar?CIK=1814329</v>
      </c>
      <c r="V373" s="72" t="str">
        <f>IFERROR(__xludf.DUMMYFUNCTION("""COMPUTED_VALUE"""),"SpaceTech, Aerospace     Optionable    Well-known Sponsor  Top Tier UW ")</f>
        <v>SpaceTech, Aerospace     Optionable    Well-known Sponsor  Top Tier UW </v>
      </c>
      <c r="W373" s="73">
        <f>IFERROR(__xludf.DUMMYFUNCTION("""COMPUTED_VALUE"""),44229.0)</f>
        <v>44229</v>
      </c>
      <c r="X373" s="79">
        <f>IFERROR(__xludf.DUMMYFUNCTION("""COMPUTED_VALUE"""),6.033333333333333)</f>
        <v>6.033333333</v>
      </c>
      <c r="Y373" s="80" t="str">
        <f>IFERROR(__xludf.DUMMYFUNCTION("""COMPUTED_VALUE"""),"businesswire.com/news/home/20210202005459/en/?s=09")</f>
        <v>businesswire.com/news/home/20210202005459/en/?s=09</v>
      </c>
      <c r="Z373" s="81" t="str">
        <f>IFERROR(__xludf.DUMMYFUNCTION("""COMPUTED_VALUE"""),"https://www.sec.gov/Archives/edgar/data/1814329/000121390021005957/ea134316ex99-2_holicity.htm")</f>
        <v>https://www.sec.gov/Archives/edgar/data/1814329/000121390021005957/ea134316ex99-2_holicity.htm</v>
      </c>
      <c r="AA373" s="60">
        <f>IFERROR(__xludf.DUMMYFUNCTION("""COMPUTED_VALUE"""),2.0E8)</f>
        <v>200000000</v>
      </c>
      <c r="AB373" s="60">
        <f>IFERROR(__xludf.DUMMYFUNCTION("""COMPUTED_VALUE"""),2.605E9)</f>
        <v>2605000000</v>
      </c>
      <c r="AC373" s="60">
        <f>IFERROR(__xludf.DUMMYFUNCTION("""COMPUTED_VALUE"""),2.123E9)</f>
        <v>2123000000</v>
      </c>
      <c r="AD373" s="73"/>
      <c r="AE373" s="73"/>
      <c r="AF373" s="76">
        <f>IFERROR(__xludf.DUMMYFUNCTION("""COMPUTED_VALUE"""),2.605E8)</f>
        <v>260500000</v>
      </c>
      <c r="AG373" s="60">
        <f>IFERROR(__xludf.DUMMYFUNCTION("""COMPUTED_VALUE"""),2.80298E9)</f>
        <v>2802980000</v>
      </c>
    </row>
    <row r="374">
      <c r="A374" s="54" t="str">
        <f>IFERROR(__xludf.DUMMYFUNCTION("""COMPUTED_VALUE"""),"HPX")</f>
        <v>HPX</v>
      </c>
      <c r="B374" s="55" t="str">
        <f>IFERROR(__xludf.DUMMYFUNCTION("""COMPUTED_VALUE"""),"HPX Corp")</f>
        <v>HPX Corp</v>
      </c>
      <c r="C374" s="56" t="str">
        <f>IFERROR(__xludf.DUMMYFUNCTION("""COMPUTED_VALUE"""),"Searching")</f>
        <v>Searching</v>
      </c>
      <c r="D374" s="57" t="str">
        <f>IFERROR(__xludf.DUMMYFUNCTION("""COMPUTED_VALUE"""),"Brazil")</f>
        <v>Brazil</v>
      </c>
      <c r="E374" s="58"/>
      <c r="F374" s="59"/>
      <c r="G374" s="60">
        <f>IFERROR(__xludf.DUMMYFUNCTION("""COMPUTED_VALUE"""),2.53012211E8)</f>
        <v>253012211</v>
      </c>
      <c r="H374" s="60">
        <f>IFERROR(__xludf.DUMMYFUNCTION("""COMPUTED_VALUE"""),2.54265E8)</f>
        <v>254265000</v>
      </c>
      <c r="I374" s="61">
        <f>IFERROR(__xludf.DUMMYFUNCTION("""COMPUTED_VALUE"""),10.05)</f>
        <v>10.05</v>
      </c>
      <c r="J374" s="62">
        <f>IFERROR(__xludf.DUMMYFUNCTION("""COMPUTED_VALUE"""),0.01721)</f>
        <v>0.01721</v>
      </c>
      <c r="K374" s="59">
        <f>IFERROR(__xludf.DUMMYFUNCTION("""COMPUTED_VALUE"""),10.3)</f>
        <v>10.3</v>
      </c>
      <c r="L374" s="63">
        <f>IFERROR(__xludf.DUMMYFUNCTION("""COMPUTED_VALUE"""),0.7999)</f>
        <v>0.7999</v>
      </c>
      <c r="M374" s="64" t="str">
        <f>IFERROR(__xludf.DUMMYFUNCTION("""COMPUTED_VALUE"""),"U: [1/2 W]; W: [1:1, $11.5]")</f>
        <v>U: [1/2 W]; W: [1:1, $11.5]</v>
      </c>
      <c r="N374" s="65" t="str">
        <f>IFERROR(__xludf.DUMMYFUNCTION("""COMPUTED_VALUE"""),"")</f>
        <v/>
      </c>
      <c r="O374" s="66">
        <f>IFERROR(__xludf.DUMMYFUNCTION("""COMPUTED_VALUE"""),0.0)</f>
        <v>0</v>
      </c>
      <c r="P374" s="67">
        <f>IFERROR(__xludf.DUMMYFUNCTION("""COMPUTED_VALUE"""),44028.0)</f>
        <v>44028</v>
      </c>
      <c r="Q374" s="68">
        <f>IFERROR(__xludf.DUMMYFUNCTION("""COMPUTED_VALUE"""),253.0)</f>
        <v>253</v>
      </c>
      <c r="R374" s="69" t="str">
        <f>IFERROR(__xludf.DUMMYFUNCTION("""COMPUTED_VALUE"""),"Credit Suisse")</f>
        <v>Credit Suisse</v>
      </c>
      <c r="S374" s="64">
        <f>IFERROR(__xludf.DUMMYFUNCTION("""COMPUTED_VALUE"""),44758.0)</f>
        <v>44758</v>
      </c>
      <c r="T374" s="70">
        <f>IFERROR(__xludf.DUMMYFUNCTION("""COMPUTED_VALUE"""),0.36712328767123287)</f>
        <v>0.3671232877</v>
      </c>
      <c r="U374" s="71" t="str">
        <f>IFERROR(__xludf.DUMMYFUNCTION("""COMPUTED_VALUE"""),"https://www.sec.gov/cgi-bin/browse-edgar?CIK=1809353")</f>
        <v>https://www.sec.gov/cgi-bin/browse-edgar?CIK=1809353</v>
      </c>
      <c r="V374" s="72" t="str">
        <f>IFERROR(__xludf.DUMMYFUNCTION("""COMPUTED_VALUE"""),"            ")</f>
        <v>            </v>
      </c>
      <c r="W374" s="73"/>
      <c r="X374" s="74"/>
      <c r="Y374" s="75"/>
      <c r="Z374" s="60"/>
      <c r="AA374" s="60"/>
      <c r="AB374" s="60"/>
      <c r="AC374" s="60"/>
      <c r="AD374" s="73"/>
      <c r="AE374" s="73"/>
      <c r="AF374" s="76"/>
      <c r="AG374" s="60" t="str">
        <f>IFERROR(__xludf.DUMMYFUNCTION("""COMPUTED_VALUE"""),"")</f>
        <v/>
      </c>
    </row>
    <row r="375">
      <c r="A375" s="54" t="str">
        <f>IFERROR(__xludf.DUMMYFUNCTION("""COMPUTED_VALUE"""),"HSAQ")</f>
        <v>HSAQ</v>
      </c>
      <c r="B375" s="55" t="str">
        <f>IFERROR(__xludf.DUMMYFUNCTION("""COMPUTED_VALUE"""),"Health Sciences Acquisitions Corporation 2")</f>
        <v>Health Sciences Acquisitions Corporation 2</v>
      </c>
      <c r="C375" s="56" t="str">
        <f>IFERROR(__xludf.DUMMYFUNCTION("""COMPUTED_VALUE"""),"Searching")</f>
        <v>Searching</v>
      </c>
      <c r="D375" s="57" t="str">
        <f>IFERROR(__xludf.DUMMYFUNCTION("""COMPUTED_VALUE"""),"Healthcare, Biopharma, Medical Tech")</f>
        <v>Healthcare, Biopharma, Medical Tech</v>
      </c>
      <c r="E375" s="58"/>
      <c r="F375" s="59" t="str">
        <f>IFERROR(__xludf.DUMMYFUNCTION("""COMPUTED_VALUE"""),"RTW Investments")</f>
        <v>RTW Investments</v>
      </c>
      <c r="G375" s="60">
        <f>IFERROR(__xludf.DUMMYFUNCTION("""COMPUTED_VALUE"""),1.60006444E8)</f>
        <v>160006444</v>
      </c>
      <c r="H375" s="60">
        <f>IFERROR(__xludf.DUMMYFUNCTION("""COMPUTED_VALUE"""),2.12271E8)</f>
        <v>212271000</v>
      </c>
      <c r="I375" s="61">
        <f>IFERROR(__xludf.DUMMYFUNCTION("""COMPUTED_VALUE"""),10.38)</f>
        <v>10.38</v>
      </c>
      <c r="J375" s="62">
        <f>IFERROR(__xludf.DUMMYFUNCTION("""COMPUTED_VALUE"""),0.01071)</f>
        <v>0.01071</v>
      </c>
      <c r="K375" s="59" t="str">
        <f>IFERROR(__xludf.DUMMYFUNCTION("""COMPUTED_VALUE""")," ")</f>
        <v> </v>
      </c>
      <c r="L375" s="63" t="str">
        <f>IFERROR(__xludf.DUMMYFUNCTION("""COMPUTED_VALUE""")," ")</f>
        <v> </v>
      </c>
      <c r="M375" s="64" t="str">
        <f>IFERROR(__xludf.DUMMYFUNCTION("""COMPUTED_VALUE"""),"U: [No units]; W: [No warrants]")</f>
        <v>U: [No units]; W: [No warrants]</v>
      </c>
      <c r="N375" s="65" t="str">
        <f>IFERROR(__xludf.DUMMYFUNCTION("""COMPUTED_VALUE"""),"")</f>
        <v/>
      </c>
      <c r="O375" s="66" t="str">
        <f>IFERROR(__xludf.DUMMYFUNCTION("""COMPUTED_VALUE"""),"")</f>
        <v/>
      </c>
      <c r="P375" s="67">
        <f>IFERROR(__xludf.DUMMYFUNCTION("""COMPUTED_VALUE"""),44047.0)</f>
        <v>44047</v>
      </c>
      <c r="Q375" s="68">
        <f>IFERROR(__xludf.DUMMYFUNCTION("""COMPUTED_VALUE"""),160.0)</f>
        <v>160</v>
      </c>
      <c r="R375" s="69" t="str">
        <f>IFERROR(__xludf.DUMMYFUNCTION("""COMPUTED_VALUE"""),"Chardan, Barclays")</f>
        <v>Chardan, Barclays</v>
      </c>
      <c r="S375" s="64">
        <f>IFERROR(__xludf.DUMMYFUNCTION("""COMPUTED_VALUE"""),44777.0)</f>
        <v>44777</v>
      </c>
      <c r="T375" s="70">
        <f>IFERROR(__xludf.DUMMYFUNCTION("""COMPUTED_VALUE"""),0.3410958904109589)</f>
        <v>0.3410958904</v>
      </c>
      <c r="U375" s="71" t="str">
        <f>IFERROR(__xludf.DUMMYFUNCTION("""COMPUTED_VALUE"""),"https://www.sec.gov/cgi-bin/browse-edgar?CIK=1814114")</f>
        <v>https://www.sec.gov/cgi-bin/browse-edgar?CIK=1814114</v>
      </c>
      <c r="V375" s="72" t="str">
        <f>IFERROR(__xludf.DUMMYFUNCTION("""COMPUTED_VALUE"""),"            ")</f>
        <v>            </v>
      </c>
      <c r="W375" s="73"/>
      <c r="X375" s="74"/>
      <c r="Y375" s="75"/>
      <c r="Z375" s="60"/>
      <c r="AA375" s="60"/>
      <c r="AB375" s="60"/>
      <c r="AC375" s="60"/>
      <c r="AD375" s="73"/>
      <c r="AE375" s="73"/>
      <c r="AF375" s="76"/>
      <c r="AG375" s="60" t="str">
        <f>IFERROR(__xludf.DUMMYFUNCTION("""COMPUTED_VALUE"""),"")</f>
        <v/>
      </c>
    </row>
    <row r="376">
      <c r="A376" s="54" t="str">
        <f>IFERROR(__xludf.DUMMYFUNCTION("""COMPUTED_VALUE"""),"HTAQ")</f>
        <v>HTAQ</v>
      </c>
      <c r="B376" s="55" t="str">
        <f>IFERROR(__xludf.DUMMYFUNCTION("""COMPUTED_VALUE"""),"Hunt Companies Acquisition Corp. I")</f>
        <v>Hunt Companies Acquisition Corp. I</v>
      </c>
      <c r="C376" s="56" t="str">
        <f>IFERROR(__xludf.DUMMYFUNCTION("""COMPUTED_VALUE"""),"Pre IPO")</f>
        <v>Pre IPO</v>
      </c>
      <c r="D376" s="57" t="str">
        <f>IFERROR(__xludf.DUMMYFUNCTION("""COMPUTED_VALUE"""),"Renewable energy, infrastructure, or Real Asset services and technology")</f>
        <v>Renewable energy, infrastructure, or Real Asset services and technology</v>
      </c>
      <c r="E376" s="58"/>
      <c r="F376" s="59" t="str">
        <f>IFERROR(__xludf.DUMMYFUNCTION("""COMPUTED_VALUE"""),"Woody Hunt (Sr Chairman of Hunt Companies)")</f>
        <v>Woody Hunt (Sr Chairman of Hunt Companies)</v>
      </c>
      <c r="G376" s="60">
        <f>IFERROR(__xludf.DUMMYFUNCTION("""COMPUTED_VALUE"""),2.0E8)</f>
        <v>200000000</v>
      </c>
      <c r="H376" s="60" t="str">
        <f>IFERROR(__xludf.DUMMYFUNCTION("""COMPUTED_VALUE""")," ")</f>
        <v> </v>
      </c>
      <c r="I376" s="61" t="str">
        <f>IFERROR(__xludf.DUMMYFUNCTION("""COMPUTED_VALUE""")," ")</f>
        <v> </v>
      </c>
      <c r="J376" s="62" t="str">
        <f>IFERROR(__xludf.DUMMYFUNCTION("""COMPUTED_VALUE""")," ")</f>
        <v> </v>
      </c>
      <c r="K376" s="59" t="str">
        <f>IFERROR(__xludf.DUMMYFUNCTION("""COMPUTED_VALUE""")," ")</f>
        <v> </v>
      </c>
      <c r="L376" s="63" t="str">
        <f>IFERROR(__xludf.DUMMYFUNCTION("""COMPUTED_VALUE""")," ")</f>
        <v> </v>
      </c>
      <c r="M376" s="64" t="str">
        <f>IFERROR(__xludf.DUMMYFUNCTION("""COMPUTED_VALUE"""),"U: [1/2 W]; W: [1:1, $11.5]")</f>
        <v>U: [1/2 W]; W: [1:1, $11.5]</v>
      </c>
      <c r="N376" s="65" t="str">
        <f>IFERROR(__xludf.DUMMYFUNCTION("""COMPUTED_VALUE"""),"")</f>
        <v/>
      </c>
      <c r="O376" s="66">
        <f>IFERROR(__xludf.DUMMYFUNCTION("""COMPUTED_VALUE"""),0.0)</f>
        <v>0</v>
      </c>
      <c r="P376" s="67"/>
      <c r="Q376" s="68">
        <f>IFERROR(__xludf.DUMMYFUNCTION("""COMPUTED_VALUE"""),200.0)</f>
        <v>200</v>
      </c>
      <c r="R376" s="69" t="str">
        <f>IFERROR(__xludf.DUMMYFUNCTION("""COMPUTED_VALUE"""),"Jefferies, Imperial Capital")</f>
        <v>Jefferies, Imperial Capital</v>
      </c>
      <c r="S376" s="64">
        <f>IFERROR(__xludf.DUMMYFUNCTION("""COMPUTED_VALUE"""),45086.0)</f>
        <v>45086</v>
      </c>
      <c r="T376" s="70" t="str">
        <f>IFERROR(__xludf.DUMMYFUNCTION("""COMPUTED_VALUE"""),"")</f>
        <v/>
      </c>
      <c r="U376" s="71" t="str">
        <f>IFERROR(__xludf.DUMMYFUNCTION("""COMPUTED_VALUE"""),"https://www.sec.gov/cgi-bin/browse-edgar?CIK=1850038")</f>
        <v>https://www.sec.gov/cgi-bin/browse-edgar?CIK=1850038</v>
      </c>
      <c r="V376" s="72" t="str">
        <f>IFERROR(__xludf.DUMMYFUNCTION("""COMPUTED_VALUE"""),"Sustainability            ")</f>
        <v>Sustainability            </v>
      </c>
      <c r="W376" s="73"/>
      <c r="X376" s="74"/>
      <c r="Y376" s="75"/>
      <c r="Z376" s="60"/>
      <c r="AA376" s="60"/>
      <c r="AB376" s="60"/>
      <c r="AC376" s="60"/>
      <c r="AD376" s="73"/>
      <c r="AE376" s="73"/>
      <c r="AF376" s="76"/>
      <c r="AG376" s="60"/>
    </row>
    <row r="377">
      <c r="A377" s="54" t="str">
        <f>IFERROR(__xludf.DUMMYFUNCTION("""COMPUTED_VALUE"""),"HTPA")</f>
        <v>HTPA</v>
      </c>
      <c r="B377" s="55" t="str">
        <f>IFERROR(__xludf.DUMMYFUNCTION("""COMPUTED_VALUE"""),"Highland Transcend Partners I Corp.")</f>
        <v>Highland Transcend Partners I Corp.</v>
      </c>
      <c r="C377" s="56" t="str">
        <f>IFERROR(__xludf.DUMMYFUNCTION("""COMPUTED_VALUE"""),"Searching")</f>
        <v>Searching</v>
      </c>
      <c r="D377" s="57" t="str">
        <f>IFERROR(__xludf.DUMMYFUNCTION("""COMPUTED_VALUE"""),"E-commerce, Digital Media &amp; Services, Enterprise Software")</f>
        <v>E-commerce, Digital Media &amp; Services, Enterprise Software</v>
      </c>
      <c r="E377" s="58"/>
      <c r="F377" s="59" t="str">
        <f>IFERROR(__xludf.DUMMYFUNCTION("""COMPUTED_VALUE"""),"Highland Capital Partners")</f>
        <v>Highland Capital Partners</v>
      </c>
      <c r="G377" s="60">
        <f>IFERROR(__xludf.DUMMYFUNCTION("""COMPUTED_VALUE"""),3.00011579E8)</f>
        <v>300011579</v>
      </c>
      <c r="H377" s="60">
        <f>IFERROR(__xludf.DUMMYFUNCTION("""COMPUTED_VALUE"""),3.015E8)</f>
        <v>301500000</v>
      </c>
      <c r="I377" s="61">
        <f>IFERROR(__xludf.DUMMYFUNCTION("""COMPUTED_VALUE"""),10.05)</f>
        <v>10.05</v>
      </c>
      <c r="J377" s="62">
        <f>IFERROR(__xludf.DUMMYFUNCTION("""COMPUTED_VALUE"""),0.01413)</f>
        <v>0.01413</v>
      </c>
      <c r="K377" s="59">
        <f>IFERROR(__xludf.DUMMYFUNCTION("""COMPUTED_VALUE"""),10.5)</f>
        <v>10.5</v>
      </c>
      <c r="L377" s="63">
        <f>IFERROR(__xludf.DUMMYFUNCTION("""COMPUTED_VALUE"""),1.13)</f>
        <v>1.13</v>
      </c>
      <c r="M377" s="64" t="str">
        <f>IFERROR(__xludf.DUMMYFUNCTION("""COMPUTED_VALUE"""),"U: [1/3 W]; W: [1:1, $11.5]")</f>
        <v>U: [1/3 W]; W: [1:1, $11.5]</v>
      </c>
      <c r="N377" s="65" t="str">
        <f>IFERROR(__xludf.DUMMYFUNCTION("""COMPUTED_VALUE"""),"")</f>
        <v/>
      </c>
      <c r="O377" s="66">
        <f>IFERROR(__xludf.DUMMYFUNCTION("""COMPUTED_VALUE"""),0.0)</f>
        <v>0</v>
      </c>
      <c r="P377" s="67">
        <f>IFERROR(__xludf.DUMMYFUNCTION("""COMPUTED_VALUE"""),44168.0)</f>
        <v>44168</v>
      </c>
      <c r="Q377" s="68">
        <f>IFERROR(__xludf.DUMMYFUNCTION("""COMPUTED_VALUE"""),300.0)</f>
        <v>300</v>
      </c>
      <c r="R377" s="69" t="str">
        <f>IFERROR(__xludf.DUMMYFUNCTION("""COMPUTED_VALUE"""),"Goldman Sachs, JP Morgan")</f>
        <v>Goldman Sachs, JP Morgan</v>
      </c>
      <c r="S377" s="64">
        <f>IFERROR(__xludf.DUMMYFUNCTION("""COMPUTED_VALUE"""),44898.0)</f>
        <v>44898</v>
      </c>
      <c r="T377" s="70">
        <f>IFERROR(__xludf.DUMMYFUNCTION("""COMPUTED_VALUE"""),0.17534246575342466)</f>
        <v>0.1753424658</v>
      </c>
      <c r="U377" s="71" t="str">
        <f>IFERROR(__xludf.DUMMYFUNCTION("""COMPUTED_VALUE"""),"https://www.sec.gov/cgi-bin/browse-edgar?CIK=1828817")</f>
        <v>https://www.sec.gov/cgi-bin/browse-edgar?CIK=1828817</v>
      </c>
      <c r="V377" s="72" t="str">
        <f>IFERROR(__xludf.DUMMYFUNCTION("""COMPUTED_VALUE"""),"Venture Capital           Top Tier UW ")</f>
        <v>Venture Capital           Top Tier UW </v>
      </c>
      <c r="W377" s="73"/>
      <c r="X377" s="74"/>
      <c r="Y377" s="75"/>
      <c r="Z377" s="60"/>
      <c r="AA377" s="60"/>
      <c r="AB377" s="60"/>
      <c r="AC377" s="60"/>
      <c r="AD377" s="73"/>
      <c r="AE377" s="73"/>
      <c r="AF377" s="76"/>
      <c r="AG377" s="60" t="str">
        <f>IFERROR(__xludf.DUMMYFUNCTION("""COMPUTED_VALUE"""),"")</f>
        <v/>
      </c>
    </row>
    <row r="378">
      <c r="A378" s="54" t="str">
        <f>IFERROR(__xludf.DUMMYFUNCTION("""COMPUTED_VALUE"""),"HUGS")</f>
        <v>HUGS</v>
      </c>
      <c r="B378" s="55" t="str">
        <f>IFERROR(__xludf.DUMMYFUNCTION("""COMPUTED_VALUE"""),"USHG Acquisition Corp.")</f>
        <v>USHG Acquisition Corp.</v>
      </c>
      <c r="C378" s="56" t="str">
        <f>IFERROR(__xludf.DUMMYFUNCTION("""COMPUTED_VALUE"""),"Searching (Pre Unit Split)")</f>
        <v>Searching (Pre Unit Split)</v>
      </c>
      <c r="D378" s="57" t="str">
        <f>IFERROR(__xludf.DUMMYFUNCTION("""COMPUTED_VALUE"""),"Tech, e-Commerce, Food/Beverage, Health, Retail, Consumer")</f>
        <v>Tech, e-Commerce, Food/Beverage, Health, Retail, Consumer</v>
      </c>
      <c r="E378" s="58"/>
      <c r="F378" s="59" t="str">
        <f>IFERROR(__xludf.DUMMYFUNCTION("""COMPUTED_VALUE"""),"Danny Meyer (Founder/Chairman, Shake Shack; CEO, Union Square Hospitality Group), Randy Garutti (CEO, Shake Shack; Director, Square), Walter Robb (Fmr Co-CEO, Whole Foods), Robert Steel (Chairman/ Partner, Perella Weinberg Partners; Fmr CEO, Wachovia; Fmr"&amp;" Vice Chairman, Goldman Sachs; Fmr Deputy Mayor, Economic Development under Mayor Bloomberg)")</f>
        <v>Danny Meyer (Founder/Chairman, Shake Shack; CEO, Union Square Hospitality Group), Randy Garutti (CEO, Shake Shack; Director, Square), Walter Robb (Fmr Co-CEO, Whole Foods), Robert Steel (Chairman/ Partner, Perella Weinberg Partners; Fmr CEO, Wachovia; Fmr Vice Chairman, Goldman Sachs; Fmr Deputy Mayor, Economic Development under Mayor Bloomberg)</v>
      </c>
      <c r="G378" s="60">
        <f>IFERROR(__xludf.DUMMYFUNCTION("""COMPUTED_VALUE"""),2.875E8)</f>
        <v>287500000</v>
      </c>
      <c r="H378" s="60" t="str">
        <f>IFERROR(__xludf.DUMMYFUNCTION("""COMPUTED_VALUE""")," ")</f>
        <v> </v>
      </c>
      <c r="I378" s="61" t="str">
        <f>IFERROR(__xludf.DUMMYFUNCTION("""COMPUTED_VALUE""")," ")</f>
        <v> </v>
      </c>
      <c r="J378" s="62" t="str">
        <f>IFERROR(__xludf.DUMMYFUNCTION("""COMPUTED_VALUE""")," ")</f>
        <v> </v>
      </c>
      <c r="K378" s="59">
        <f>IFERROR(__xludf.DUMMYFUNCTION("""COMPUTED_VALUE"""),10.11)</f>
        <v>10.11</v>
      </c>
      <c r="L378" s="63" t="str">
        <f>IFERROR(__xludf.DUMMYFUNCTION("""COMPUTED_VALUE""")," ")</f>
        <v> </v>
      </c>
      <c r="M378" s="64" t="str">
        <f>IFERROR(__xludf.DUMMYFUNCTION("""COMPUTED_VALUE"""),"U: [1/3 W]; W: [1:1, $11.5]")</f>
        <v>U: [1/3 W]; W: [1:1, $11.5]</v>
      </c>
      <c r="N378" s="65">
        <f>IFERROR(__xludf.DUMMYFUNCTION("""COMPUTED_VALUE"""),44303.0)</f>
        <v>44303</v>
      </c>
      <c r="O378" s="66" t="str">
        <f>IFERROR(__xludf.DUMMYFUNCTION("""COMPUTED_VALUE"""),"")</f>
        <v/>
      </c>
      <c r="P378" s="67">
        <f>IFERROR(__xludf.DUMMYFUNCTION("""COMPUTED_VALUE"""),44251.0)</f>
        <v>44251</v>
      </c>
      <c r="Q378" s="68">
        <f>IFERROR(__xludf.DUMMYFUNCTION("""COMPUTED_VALUE"""),287.5)</f>
        <v>287.5</v>
      </c>
      <c r="R378" s="69" t="str">
        <f>IFERROR(__xludf.DUMMYFUNCTION("""COMPUTED_VALUE"""),"Goldman Sachs &amp; Co. LLC, Piper Sandler")</f>
        <v>Goldman Sachs &amp; Co. LLC, Piper Sandler</v>
      </c>
      <c r="S378" s="64">
        <f>IFERROR(__xludf.DUMMYFUNCTION("""COMPUTED_VALUE"""),44981.0)</f>
        <v>44981</v>
      </c>
      <c r="T378" s="70">
        <f>IFERROR(__xludf.DUMMYFUNCTION("""COMPUTED_VALUE"""),0.06164383561643835)</f>
        <v>0.06164383562</v>
      </c>
      <c r="U378" s="71" t="str">
        <f>IFERROR(__xludf.DUMMYFUNCTION("""COMPUTED_VALUE"""),"https://www.sec.gov/cgi-bin/browse-edgar?CIK=1836894")</f>
        <v>https://www.sec.gov/cgi-bin/browse-edgar?CIK=1836894</v>
      </c>
      <c r="V378" s="72" t="str">
        <f>IFERROR(__xludf.DUMMYFUNCTION("""COMPUTED_VALUE"""),"         Well-known Sponsor  Top Tier UW ")</f>
        <v>         Well-known Sponsor  Top Tier UW </v>
      </c>
      <c r="W378" s="73"/>
      <c r="X378" s="74"/>
      <c r="Y378" s="75"/>
      <c r="Z378" s="60"/>
      <c r="AA378" s="60"/>
      <c r="AB378" s="60"/>
      <c r="AC378" s="60"/>
      <c r="AD378" s="73"/>
      <c r="AE378" s="73"/>
      <c r="AF378" s="76"/>
      <c r="AG378" s="60"/>
    </row>
    <row r="379">
      <c r="A379" s="54" t="str">
        <f>IFERROR(__xludf.DUMMYFUNCTION("""COMPUTED_VALUE"""),"HUMC")</f>
        <v>HUMC</v>
      </c>
      <c r="B379" s="55" t="str">
        <f>IFERROR(__xludf.DUMMYFUNCTION("""COMPUTED_VALUE"""),"Anthropos Capital Corp")</f>
        <v>Anthropos Capital Corp</v>
      </c>
      <c r="C379" s="56" t="str">
        <f>IFERROR(__xludf.DUMMYFUNCTION("""COMPUTED_VALUE"""),"Pre IPO")</f>
        <v>Pre IPO</v>
      </c>
      <c r="D379" s="77" t="str">
        <f>IFERROR(__xludf.DUMMYFUNCTION("""COMPUTED_VALUE"""),"Human Capital: incl. research &amp; advisory, facility services, marketing &amp; advertising")</f>
        <v>Human Capital: incl. research &amp; advisory, facility services, marketing &amp; advertising</v>
      </c>
      <c r="E379" s="58"/>
      <c r="F379" s="59" t="str">
        <f>IFERROR(__xludf.DUMMYFUNCTION("""COMPUTED_VALUE"""),"John Megrue (Co-Chairman of Bridgewater Associates, Former Co-CEO of Apax Partners, and Vice-Chairman of Radical Ventures), Jeffery Boyd (Former CEO of Booking Holdings, Chairman of Oscar Health, Director of Booking Holdings and The Home Depot), Robert J."&amp;" Mylod Jr. (Former CFO of Booking Holdings, Chairman of Booking Holdings &amp; Vroom, Director of Redfin, and Dropbox)")</f>
        <v>John Megrue (Co-Chairman of Bridgewater Associates, Former Co-CEO of Apax Partners, and Vice-Chairman of Radical Ventures), Jeffery Boyd (Former CEO of Booking Holdings, Chairman of Oscar Health, Director of Booking Holdings and The Home Depot), Robert J. Mylod Jr. (Former CFO of Booking Holdings, Chairman of Booking Holdings &amp; Vroom, Director of Redfin, and Dropbox)</v>
      </c>
      <c r="G379" s="60">
        <f>IFERROR(__xludf.DUMMYFUNCTION("""COMPUTED_VALUE"""),2.5E8)</f>
        <v>250000000</v>
      </c>
      <c r="H379" s="60" t="str">
        <f>IFERROR(__xludf.DUMMYFUNCTION("""COMPUTED_VALUE""")," ")</f>
        <v> </v>
      </c>
      <c r="I379" s="61" t="str">
        <f>IFERROR(__xludf.DUMMYFUNCTION("""COMPUTED_VALUE""")," ")</f>
        <v> </v>
      </c>
      <c r="J379" s="62" t="str">
        <f>IFERROR(__xludf.DUMMYFUNCTION("""COMPUTED_VALUE""")," ")</f>
        <v> </v>
      </c>
      <c r="K379" s="59" t="str">
        <f>IFERROR(__xludf.DUMMYFUNCTION("""COMPUTED_VALUE""")," ")</f>
        <v> </v>
      </c>
      <c r="L379" s="63" t="str">
        <f>IFERROR(__xludf.DUMMYFUNCTION("""COMPUTED_VALUE""")," ")</f>
        <v> </v>
      </c>
      <c r="M379" s="64" t="str">
        <f>IFERROR(__xludf.DUMMYFUNCTION("""COMPUTED_VALUE"""),"U: [1/3 W]; W: [1:1, $11.5]")</f>
        <v>U: [1/3 W]; W: [1:1, $11.5]</v>
      </c>
      <c r="N379" s="65" t="str">
        <f>IFERROR(__xludf.DUMMYFUNCTION("""COMPUTED_VALUE"""),"")</f>
        <v/>
      </c>
      <c r="O379" s="66">
        <f>IFERROR(__xludf.DUMMYFUNCTION("""COMPUTED_VALUE"""),0.0)</f>
        <v>0</v>
      </c>
      <c r="P379" s="67"/>
      <c r="Q379" s="68">
        <f>IFERROR(__xludf.DUMMYFUNCTION("""COMPUTED_VALUE"""),250.0)</f>
        <v>250</v>
      </c>
      <c r="R379" s="69" t="str">
        <f>IFERROR(__xludf.DUMMYFUNCTION("""COMPUTED_VALUE"""),"Credit Suisse, Goldman Sachs &amp; Co. LLC")</f>
        <v>Credit Suisse, Goldman Sachs &amp; Co. LLC</v>
      </c>
      <c r="S379" s="64">
        <f>IFERROR(__xludf.DUMMYFUNCTION("""COMPUTED_VALUE"""),45086.0)</f>
        <v>45086</v>
      </c>
      <c r="T379" s="70" t="str">
        <f>IFERROR(__xludf.DUMMYFUNCTION("""COMPUTED_VALUE"""),"")</f>
        <v/>
      </c>
      <c r="U379" s="71" t="str">
        <f>IFERROR(__xludf.DUMMYFUNCTION("""COMPUTED_VALUE"""),"https://www.sec.gov/cgi-bin/browse-edgar?CIK=1846091")</f>
        <v>https://www.sec.gov/cgi-bin/browse-edgar?CIK=1846091</v>
      </c>
      <c r="V379" s="72" t="str">
        <f>IFERROR(__xludf.DUMMYFUNCTION("""COMPUTED_VALUE"""),"         Well-known Sponsor  Top Tier UW ")</f>
        <v>         Well-known Sponsor  Top Tier UW </v>
      </c>
      <c r="W379" s="73"/>
      <c r="X379" s="74"/>
      <c r="Y379" s="75"/>
      <c r="Z379" s="60"/>
      <c r="AA379" s="60"/>
      <c r="AB379" s="60"/>
      <c r="AC379" s="60"/>
      <c r="AD379" s="73"/>
      <c r="AE379" s="73"/>
      <c r="AF379" s="76"/>
      <c r="AG379" s="60"/>
    </row>
    <row r="380">
      <c r="A380" s="54" t="str">
        <f>IFERROR(__xludf.DUMMYFUNCTION("""COMPUTED_VALUE"""),"HWEL")</f>
        <v>HWEL</v>
      </c>
      <c r="B380" s="55" t="str">
        <f>IFERROR(__xludf.DUMMYFUNCTION("""COMPUTED_VALUE"""),"Healthwell Acquisition Corp. I")</f>
        <v>Healthwell Acquisition Corp. I</v>
      </c>
      <c r="C380" s="56" t="str">
        <f>IFERROR(__xludf.DUMMYFUNCTION("""COMPUTED_VALUE"""),"Pre IPO")</f>
        <v>Pre IPO</v>
      </c>
      <c r="D380" s="77" t="str">
        <f>IFERROR(__xludf.DUMMYFUNCTION("""COMPUTED_VALUE"""),"Healthcare Tech")</f>
        <v>Healthcare Tech</v>
      </c>
      <c r="E380" s="58"/>
      <c r="F380" s="59"/>
      <c r="G380" s="60">
        <f>IFERROR(__xludf.DUMMYFUNCTION("""COMPUTED_VALUE"""),2.5E8)</f>
        <v>250000000</v>
      </c>
      <c r="H380" s="60" t="str">
        <f>IFERROR(__xludf.DUMMYFUNCTION("""COMPUTED_VALUE""")," ")</f>
        <v> </v>
      </c>
      <c r="I380" s="61" t="str">
        <f>IFERROR(__xludf.DUMMYFUNCTION("""COMPUTED_VALUE""")," ")</f>
        <v> </v>
      </c>
      <c r="J380" s="62" t="str">
        <f>IFERROR(__xludf.DUMMYFUNCTION("""COMPUTED_VALUE""")," ")</f>
        <v> </v>
      </c>
      <c r="K380" s="59" t="str">
        <f>IFERROR(__xludf.DUMMYFUNCTION("""COMPUTED_VALUE""")," ")</f>
        <v> </v>
      </c>
      <c r="L380" s="63" t="str">
        <f>IFERROR(__xludf.DUMMYFUNCTION("""COMPUTED_VALUE""")," ")</f>
        <v> </v>
      </c>
      <c r="M380" s="64" t="str">
        <f>IFERROR(__xludf.DUMMYFUNCTION("""COMPUTED_VALUE"""),"U: [1/2 W]; W: [1:1, $11.5]")</f>
        <v>U: [1/2 W]; W: [1:1, $11.5]</v>
      </c>
      <c r="N380" s="65" t="str">
        <f>IFERROR(__xludf.DUMMYFUNCTION("""COMPUTED_VALUE"""),"")</f>
        <v/>
      </c>
      <c r="O380" s="66">
        <f>IFERROR(__xludf.DUMMYFUNCTION("""COMPUTED_VALUE"""),0.0)</f>
        <v>0</v>
      </c>
      <c r="P380" s="67"/>
      <c r="Q380" s="68">
        <f>IFERROR(__xludf.DUMMYFUNCTION("""COMPUTED_VALUE"""),250.0)</f>
        <v>250</v>
      </c>
      <c r="R380" s="69" t="str">
        <f>IFERROR(__xludf.DUMMYFUNCTION("""COMPUTED_VALUE"""),"Jefferies")</f>
        <v>Jefferies</v>
      </c>
      <c r="S380" s="64">
        <f>IFERROR(__xludf.DUMMYFUNCTION("""COMPUTED_VALUE"""),45086.0)</f>
        <v>45086</v>
      </c>
      <c r="T380" s="70" t="str">
        <f>IFERROR(__xludf.DUMMYFUNCTION("""COMPUTED_VALUE"""),"")</f>
        <v/>
      </c>
      <c r="U380" s="71" t="str">
        <f>IFERROR(__xludf.DUMMYFUNCTION("""COMPUTED_VALUE"""),"https://www.sec.gov/cgi-bin/browse-edgar?CIK=1845013")</f>
        <v>https://www.sec.gov/cgi-bin/browse-edgar?CIK=1845013</v>
      </c>
      <c r="V380" s="72" t="str">
        <f>IFERROR(__xludf.DUMMYFUNCTION("""COMPUTED_VALUE"""),"            ")</f>
        <v>            </v>
      </c>
      <c r="W380" s="73"/>
      <c r="X380" s="74"/>
      <c r="Y380" s="75"/>
      <c r="Z380" s="60"/>
      <c r="AA380" s="60"/>
      <c r="AB380" s="60"/>
      <c r="AC380" s="60"/>
      <c r="AD380" s="73"/>
      <c r="AE380" s="73"/>
      <c r="AF380" s="76"/>
      <c r="AG380" s="60"/>
    </row>
    <row r="381">
      <c r="A381" s="54" t="str">
        <f>IFERROR(__xludf.DUMMYFUNCTION("""COMPUTED_VALUE"""),"HYAC")</f>
        <v>HYAC</v>
      </c>
      <c r="B381" s="55" t="str">
        <f>IFERROR(__xludf.DUMMYFUNCTION("""COMPUTED_VALUE"""),"Haymaker Acquisition Corp. III")</f>
        <v>Haymaker Acquisition Corp. III</v>
      </c>
      <c r="C381" s="56" t="str">
        <f>IFERROR(__xludf.DUMMYFUNCTION("""COMPUTED_VALUE"""),"Searching (Pre Unit Split)")</f>
        <v>Searching (Pre Unit Split)</v>
      </c>
      <c r="D381" s="77" t="str">
        <f>IFERROR(__xludf.DUMMYFUNCTION("""COMPUTED_VALUE"""),"Consumer")</f>
        <v>Consumer</v>
      </c>
      <c r="E381" s="58"/>
      <c r="F381" s="59" t="str">
        <f>IFERROR(__xludf.DUMMYFUNCTION("""COMPUTED_VALUE"""),"Steven Heyer (Former CEO of Starwood Hotels; Fmr COO, Coca-Cola Company)")</f>
        <v>Steven Heyer (Former CEO of Starwood Hotels; Fmr COO, Coca-Cola Company)</v>
      </c>
      <c r="G381" s="60">
        <f>IFERROR(__xludf.DUMMYFUNCTION("""COMPUTED_VALUE"""),3.0E8)</f>
        <v>300000000</v>
      </c>
      <c r="H381" s="60" t="str">
        <f>IFERROR(__xludf.DUMMYFUNCTION("""COMPUTED_VALUE""")," ")</f>
        <v> </v>
      </c>
      <c r="I381" s="61" t="str">
        <f>IFERROR(__xludf.DUMMYFUNCTION("""COMPUTED_VALUE""")," ")</f>
        <v> </v>
      </c>
      <c r="J381" s="62" t="str">
        <f>IFERROR(__xludf.DUMMYFUNCTION("""COMPUTED_VALUE""")," ")</f>
        <v> </v>
      </c>
      <c r="K381" s="59">
        <f>IFERROR(__xludf.DUMMYFUNCTION("""COMPUTED_VALUE"""),10.11)</f>
        <v>10.11</v>
      </c>
      <c r="L381" s="63" t="str">
        <f>IFERROR(__xludf.DUMMYFUNCTION("""COMPUTED_VALUE""")," ")</f>
        <v> </v>
      </c>
      <c r="M381" s="64" t="str">
        <f>IFERROR(__xludf.DUMMYFUNCTION("""COMPUTED_VALUE"""),"U: [1/4 W]; W: [1:1, $11.5]")</f>
        <v>U: [1/4 W]; W: [1:1, $11.5]</v>
      </c>
      <c r="N381" s="65">
        <f>IFERROR(__xludf.DUMMYFUNCTION("""COMPUTED_VALUE"""),44308.0)</f>
        <v>44308</v>
      </c>
      <c r="O381" s="66" t="str">
        <f>IFERROR(__xludf.DUMMYFUNCTION("""COMPUTED_VALUE"""),"")</f>
        <v/>
      </c>
      <c r="P381" s="67">
        <f>IFERROR(__xludf.DUMMYFUNCTION("""COMPUTED_VALUE"""),44256.0)</f>
        <v>44256</v>
      </c>
      <c r="Q381" s="68">
        <f>IFERROR(__xludf.DUMMYFUNCTION("""COMPUTED_VALUE"""),300.0)</f>
        <v>300</v>
      </c>
      <c r="R381" s="69" t="str">
        <f>IFERROR(__xludf.DUMMYFUNCTION("""COMPUTED_VALUE"""),"Citigroup, Cantor")</f>
        <v>Citigroup, Cantor</v>
      </c>
      <c r="S381" s="64">
        <f>IFERROR(__xludf.DUMMYFUNCTION("""COMPUTED_VALUE"""),44986.0)</f>
        <v>44986</v>
      </c>
      <c r="T381" s="70">
        <f>IFERROR(__xludf.DUMMYFUNCTION("""COMPUTED_VALUE"""),0.0547945205479452)</f>
        <v>0.05479452055</v>
      </c>
      <c r="U381" s="71" t="str">
        <f>IFERROR(__xludf.DUMMYFUNCTION("""COMPUTED_VALUE"""),"https://www.sec.gov/cgi-bin/browse-edgar?CIK=1819253")</f>
        <v>https://www.sec.gov/cgi-bin/browse-edgar?CIK=1819253</v>
      </c>
      <c r="V381" s="72" t="str">
        <f>IFERROR(__xludf.DUMMYFUNCTION("""COMPUTED_VALUE"""),"          Serial Sponsor Top Tier UW ")</f>
        <v>          Serial Sponsor Top Tier UW </v>
      </c>
      <c r="W381" s="73"/>
      <c r="X381" s="74"/>
      <c r="Y381" s="75"/>
      <c r="Z381" s="60"/>
      <c r="AA381" s="60"/>
      <c r="AB381" s="60"/>
      <c r="AC381" s="60"/>
      <c r="AD381" s="73"/>
      <c r="AE381" s="73"/>
      <c r="AF381" s="76"/>
      <c r="AG381" s="60"/>
    </row>
    <row r="382">
      <c r="A382" s="54" t="str">
        <f>IFERROR(__xludf.DUMMYFUNCTION("""COMPUTED_VALUE"""),"HZAC")</f>
        <v>HZAC</v>
      </c>
      <c r="B382" s="55" t="str">
        <f>IFERROR(__xludf.DUMMYFUNCTION("""COMPUTED_VALUE"""),"Horizon Acquisition Corp")</f>
        <v>Horizon Acquisition Corp</v>
      </c>
      <c r="C382" s="56" t="str">
        <f>IFERROR(__xludf.DUMMYFUNCTION("""COMPUTED_VALUE"""),"Searching")</f>
        <v>Searching</v>
      </c>
      <c r="D382" s="77" t="str">
        <f>IFERROR(__xludf.DUMMYFUNCTION("""COMPUTED_VALUE"""),"Financial Services, Fintech, Insurance Tech")</f>
        <v>Financial Services, Fintech, Insurance Tech</v>
      </c>
      <c r="E382" s="58" t="str">
        <f>IFERROR(__xludf.DUMMYFUNCTION("""COMPUTED_VALUE"""),"[In talks (unconfirmed) with Vivid Seats: Per Bloomberg 3/18/21]")</f>
        <v>[In talks (unconfirmed) with Vivid Seats: Per Bloomberg 3/18/21]</v>
      </c>
      <c r="F382" s="59" t="str">
        <f>IFERROR(__xludf.DUMMYFUNCTION("""COMPUTED_VALUE"""),"Todd Boehly (Founder/CEO, Elridge), Haroon Mokhtarzada (Founder/CEO of Truebill), Safwan Shah (Founder/CEO of PayActiv)")</f>
        <v>Todd Boehly (Founder/CEO, Elridge), Haroon Mokhtarzada (Founder/CEO of Truebill), Safwan Shah (Founder/CEO of PayActiv)</v>
      </c>
      <c r="G382" s="60">
        <f>IFERROR(__xludf.DUMMYFUNCTION("""COMPUTED_VALUE"""),5.4398433E8)</f>
        <v>543984330</v>
      </c>
      <c r="H382" s="60">
        <f>IFERROR(__xludf.DUMMYFUNCTION("""COMPUTED_VALUE"""),5.4017644E8)</f>
        <v>540176440</v>
      </c>
      <c r="I382" s="61">
        <f>IFERROR(__xludf.DUMMYFUNCTION("""COMPUTED_VALUE"""),9.93)</f>
        <v>9.93</v>
      </c>
      <c r="J382" s="62">
        <f>IFERROR(__xludf.DUMMYFUNCTION("""COMPUTED_VALUE"""),-0.00601)</f>
        <v>-0.00601</v>
      </c>
      <c r="K382" s="59">
        <f>IFERROR(__xludf.DUMMYFUNCTION("""COMPUTED_VALUE"""),10.47)</f>
        <v>10.47</v>
      </c>
      <c r="L382" s="63">
        <f>IFERROR(__xludf.DUMMYFUNCTION("""COMPUTED_VALUE"""),1.2601)</f>
        <v>1.2601</v>
      </c>
      <c r="M382" s="64" t="str">
        <f>IFERROR(__xludf.DUMMYFUNCTION("""COMPUTED_VALUE"""),"U: [1/3 W]; W: [1:1, $11.5]")</f>
        <v>U: [1/3 W]; W: [1:1, $11.5]</v>
      </c>
      <c r="N382" s="65" t="str">
        <f>IFERROR(__xludf.DUMMYFUNCTION("""COMPUTED_VALUE"""),"")</f>
        <v/>
      </c>
      <c r="O382" s="66">
        <f>IFERROR(__xludf.DUMMYFUNCTION("""COMPUTED_VALUE"""),0.0)</f>
        <v>0</v>
      </c>
      <c r="P382" s="67">
        <f>IFERROR(__xludf.DUMMYFUNCTION("""COMPUTED_VALUE"""),44063.0)</f>
        <v>44063</v>
      </c>
      <c r="Q382" s="68">
        <f>IFERROR(__xludf.DUMMYFUNCTION("""COMPUTED_VALUE"""),543.98433)</f>
        <v>543.98433</v>
      </c>
      <c r="R382" s="69" t="str">
        <f>IFERROR(__xludf.DUMMYFUNCTION("""COMPUTED_VALUE"""),"Credit Suisse, RBC Capital Markets")</f>
        <v>Credit Suisse, RBC Capital Markets</v>
      </c>
      <c r="S382" s="64">
        <f>IFERROR(__xludf.DUMMYFUNCTION("""COMPUTED_VALUE"""),44793.0)</f>
        <v>44793</v>
      </c>
      <c r="T382" s="70">
        <f>IFERROR(__xludf.DUMMYFUNCTION("""COMPUTED_VALUE"""),0.31917808219178084)</f>
        <v>0.3191780822</v>
      </c>
      <c r="U382" s="71" t="str">
        <f>IFERROR(__xludf.DUMMYFUNCTION("""COMPUTED_VALUE"""),"https://www.sec.gov/cgi-bin/browse-edgar?CIK=1817071")</f>
        <v>https://www.sec.gov/cgi-bin/browse-edgar?CIK=1817071</v>
      </c>
      <c r="V382" s="72" t="str">
        <f>IFERROR(__xludf.DUMMYFUNCTION("""COMPUTED_VALUE""")," Trading Below $10 (Common)  $500M+ Trust     Well-known Sponsor   ")</f>
        <v> Trading Below $10 (Common)  $500M+ Trust     Well-known Sponsor   </v>
      </c>
      <c r="W382" s="73"/>
      <c r="X382" s="74"/>
      <c r="Y382" s="75"/>
      <c r="Z382" s="60"/>
      <c r="AA382" s="60"/>
      <c r="AB382" s="60"/>
      <c r="AC382" s="60"/>
      <c r="AD382" s="73"/>
      <c r="AE382" s="73"/>
      <c r="AF382" s="76"/>
      <c r="AG382" s="60" t="str">
        <f>IFERROR(__xludf.DUMMYFUNCTION("""COMPUTED_VALUE"""),"")</f>
        <v/>
      </c>
    </row>
    <row r="383">
      <c r="A383" s="54" t="str">
        <f>IFERROR(__xludf.DUMMYFUNCTION("""COMPUTED_VALUE"""),"HZNA")</f>
        <v>HZNA</v>
      </c>
      <c r="B383" s="55" t="str">
        <f>IFERROR(__xludf.DUMMYFUNCTION("""COMPUTED_VALUE"""),"Horizon Acquisition Corporation III")</f>
        <v>Horizon Acquisition Corporation III</v>
      </c>
      <c r="C383" s="56" t="str">
        <f>IFERROR(__xludf.DUMMYFUNCTION("""COMPUTED_VALUE"""),"Pre IPO")</f>
        <v>Pre IPO</v>
      </c>
      <c r="D383" s="57"/>
      <c r="E383" s="58"/>
      <c r="F383" s="59" t="str">
        <f>IFERROR(__xludf.DUMMYFUNCTION("""COMPUTED_VALUE"""),"Todd Boehly (Founder/CEO, Elridge), Haroon Mokhtarzada (Founder/CEO of Truebill)")</f>
        <v>Todd Boehly (Founder/CEO, Elridge), Haroon Mokhtarzada (Founder/CEO of Truebill)</v>
      </c>
      <c r="G383" s="60">
        <f>IFERROR(__xludf.DUMMYFUNCTION("""COMPUTED_VALUE"""),5.0E8)</f>
        <v>500000000</v>
      </c>
      <c r="H383" s="60" t="str">
        <f>IFERROR(__xludf.DUMMYFUNCTION("""COMPUTED_VALUE""")," ")</f>
        <v> </v>
      </c>
      <c r="I383" s="61" t="str">
        <f>IFERROR(__xludf.DUMMYFUNCTION("""COMPUTED_VALUE""")," ")</f>
        <v> </v>
      </c>
      <c r="J383" s="62" t="str">
        <f>IFERROR(__xludf.DUMMYFUNCTION("""COMPUTED_VALUE""")," ")</f>
        <v> </v>
      </c>
      <c r="K383" s="59" t="str">
        <f>IFERROR(__xludf.DUMMYFUNCTION("""COMPUTED_VALUE""")," ")</f>
        <v> </v>
      </c>
      <c r="L383" s="63" t="str">
        <f>IFERROR(__xludf.DUMMYFUNCTION("""COMPUTED_VALUE""")," ")</f>
        <v> </v>
      </c>
      <c r="M383" s="64" t="str">
        <f>IFERROR(__xludf.DUMMYFUNCTION("""COMPUTED_VALUE"""),"U: [1/4 W]; W: [1:1, $11.5]")</f>
        <v>U: [1/4 W]; W: [1:1, $11.5]</v>
      </c>
      <c r="N383" s="65" t="str">
        <f>IFERROR(__xludf.DUMMYFUNCTION("""COMPUTED_VALUE"""),"")</f>
        <v/>
      </c>
      <c r="O383" s="66">
        <f>IFERROR(__xludf.DUMMYFUNCTION("""COMPUTED_VALUE"""),0.0)</f>
        <v>0</v>
      </c>
      <c r="P383" s="67"/>
      <c r="Q383" s="68">
        <f>IFERROR(__xludf.DUMMYFUNCTION("""COMPUTED_VALUE"""),500.0)</f>
        <v>500</v>
      </c>
      <c r="R383" s="69" t="str">
        <f>IFERROR(__xludf.DUMMYFUNCTION("""COMPUTED_VALUE"""),"Deutsche Bank Securities, Credit Suisse, RBC Capital Markets")</f>
        <v>Deutsche Bank Securities, Credit Suisse, RBC Capital Markets</v>
      </c>
      <c r="S383" s="64">
        <f>IFERROR(__xludf.DUMMYFUNCTION("""COMPUTED_VALUE"""),45086.0)</f>
        <v>45086</v>
      </c>
      <c r="T383" s="70" t="str">
        <f>IFERROR(__xludf.DUMMYFUNCTION("""COMPUTED_VALUE"""),"")</f>
        <v/>
      </c>
      <c r="U383" s="71" t="str">
        <f>IFERROR(__xludf.DUMMYFUNCTION("""COMPUTED_VALUE"""),"https://www.sec.gov/cgi-bin/browse-edgar?CIK=1833767")</f>
        <v>https://www.sec.gov/cgi-bin/browse-edgar?CIK=1833767</v>
      </c>
      <c r="V383" s="72" t="str">
        <f>IFERROR(__xludf.DUMMYFUNCTION("""COMPUTED_VALUE"""),"   $500M+ Trust     Well-known Sponsor   ")</f>
        <v>   $500M+ Trust     Well-known Sponsor   </v>
      </c>
      <c r="W383" s="73"/>
      <c r="X383" s="74"/>
      <c r="Y383" s="75"/>
      <c r="Z383" s="60"/>
      <c r="AA383" s="60"/>
      <c r="AB383" s="60"/>
      <c r="AC383" s="60"/>
      <c r="AD383" s="73"/>
      <c r="AE383" s="73"/>
      <c r="AF383" s="76"/>
      <c r="AG383" s="60"/>
    </row>
    <row r="384">
      <c r="A384" s="54" t="str">
        <f>IFERROR(__xludf.DUMMYFUNCTION("""COMPUTED_VALUE"""),"HZON")</f>
        <v>HZON</v>
      </c>
      <c r="B384" s="55" t="str">
        <f>IFERROR(__xludf.DUMMYFUNCTION("""COMPUTED_VALUE"""),"Horizon Acquisition Corp II")</f>
        <v>Horizon Acquisition Corp II</v>
      </c>
      <c r="C384" s="56" t="str">
        <f>IFERROR(__xludf.DUMMYFUNCTION("""COMPUTED_VALUE"""),"Searching")</f>
        <v>Searching</v>
      </c>
      <c r="D384" s="77" t="str">
        <f>IFERROR(__xludf.DUMMYFUNCTION("""COMPUTED_VALUE"""),"Media, Entertainment")</f>
        <v>Media, Entertainment</v>
      </c>
      <c r="E384" s="58" t="str">
        <f>IFERROR(__xludf.DUMMYFUNCTION("""COMPUTED_VALUE"""),"[In talks (unconfirmed) with Sportradar: Per Bloomberg 3/2/21]")</f>
        <v>[In talks (unconfirmed) with Sportradar: Per Bloomberg 3/2/21]</v>
      </c>
      <c r="F384" s="59" t="str">
        <f>IFERROR(__xludf.DUMMYFUNCTION("""COMPUTED_VALUE"""),"Todd Boehly (Founder/CEO, Elridge), Jason Robbins (Co-founder/CEO, DraftKings)")</f>
        <v>Todd Boehly (Founder/CEO, Elridge), Jason Robbins (Co-founder/CEO, DraftKings)</v>
      </c>
      <c r="G384" s="60">
        <f>IFERROR(__xludf.DUMMYFUNCTION("""COMPUTED_VALUE"""),5.25003145E8)</f>
        <v>525003145</v>
      </c>
      <c r="H384" s="60"/>
      <c r="I384" s="61">
        <f>IFERROR(__xludf.DUMMYFUNCTION("""COMPUTED_VALUE"""),10.31)</f>
        <v>10.31</v>
      </c>
      <c r="J384" s="62">
        <f>IFERROR(__xludf.DUMMYFUNCTION("""COMPUTED_VALUE"""),9.7E-4)</f>
        <v>0.00097</v>
      </c>
      <c r="K384" s="59">
        <f>IFERROR(__xludf.DUMMYFUNCTION("""COMPUTED_VALUE"""),11.0)</f>
        <v>11</v>
      </c>
      <c r="L384" s="63">
        <f>IFERROR(__xludf.DUMMYFUNCTION("""COMPUTED_VALUE"""),2.2)</f>
        <v>2.2</v>
      </c>
      <c r="M384" s="64" t="str">
        <f>IFERROR(__xludf.DUMMYFUNCTION("""COMPUTED_VALUE"""),"U: [1/3 W]; W: [1:1, $11.5]")</f>
        <v>U: [1/3 W]; W: [1:1, $11.5]</v>
      </c>
      <c r="N384" s="65" t="str">
        <f>IFERROR(__xludf.DUMMYFUNCTION("""COMPUTED_VALUE"""),"")</f>
        <v/>
      </c>
      <c r="O384" s="66">
        <f>IFERROR(__xludf.DUMMYFUNCTION("""COMPUTED_VALUE"""),0.0)</f>
        <v>0</v>
      </c>
      <c r="P384" s="67">
        <f>IFERROR(__xludf.DUMMYFUNCTION("""COMPUTED_VALUE"""),44123.0)</f>
        <v>44123</v>
      </c>
      <c r="Q384" s="68">
        <f>IFERROR(__xludf.DUMMYFUNCTION("""COMPUTED_VALUE"""),525.0)</f>
        <v>525</v>
      </c>
      <c r="R384" s="69" t="str">
        <f>IFERROR(__xludf.DUMMYFUNCTION("""COMPUTED_VALUE"""),"Deutsche Bank, Credit Suisse, RBC")</f>
        <v>Deutsche Bank, Credit Suisse, RBC</v>
      </c>
      <c r="S384" s="64">
        <f>IFERROR(__xludf.DUMMYFUNCTION("""COMPUTED_VALUE"""),44853.0)</f>
        <v>44853</v>
      </c>
      <c r="T384" s="70">
        <f>IFERROR(__xludf.DUMMYFUNCTION("""COMPUTED_VALUE"""),0.236986301369863)</f>
        <v>0.2369863014</v>
      </c>
      <c r="U384" s="71" t="str">
        <f>IFERROR(__xludf.DUMMYFUNCTION("""COMPUTED_VALUE"""),"https://www.sec.gov/cgi-bin/browse-edgar?CIK=1821788")</f>
        <v>https://www.sec.gov/cgi-bin/browse-edgar?CIK=1821788</v>
      </c>
      <c r="V384" s="72" t="str">
        <f>IFERROR(__xludf.DUMMYFUNCTION("""COMPUTED_VALUE"""),"   $500M+ Trust Optionable    Well-known Sponsor   ")</f>
        <v>   $500M+ Trust Optionable    Well-known Sponsor   </v>
      </c>
      <c r="W384" s="73"/>
      <c r="X384" s="74"/>
      <c r="Y384" s="75"/>
      <c r="Z384" s="60"/>
      <c r="AA384" s="60"/>
      <c r="AB384" s="60"/>
      <c r="AC384" s="60"/>
      <c r="AD384" s="73"/>
      <c r="AE384" s="73"/>
      <c r="AF384" s="76"/>
      <c r="AG384" s="60" t="str">
        <f>IFERROR(__xludf.DUMMYFUNCTION("""COMPUTED_VALUE"""),"")</f>
        <v/>
      </c>
    </row>
    <row r="385">
      <c r="A385" s="54" t="str">
        <f>IFERROR(__xludf.DUMMYFUNCTION("""COMPUTED_VALUE"""),"IACA")</f>
        <v>IACA</v>
      </c>
      <c r="B385" s="55" t="str">
        <f>IFERROR(__xludf.DUMMYFUNCTION("""COMPUTED_VALUE"""),"ION Acquisition Corp 1 Ltd.")</f>
        <v>ION Acquisition Corp 1 Ltd.</v>
      </c>
      <c r="C385" s="56" t="str">
        <f>IFERROR(__xludf.DUMMYFUNCTION("""COMPUTED_VALUE"""),"Definitive Agreement")</f>
        <v>Definitive Agreement</v>
      </c>
      <c r="D385" s="77" t="str">
        <f>IFERROR(__xludf.DUMMYFUNCTION("""COMPUTED_VALUE"""),"Israel, Tech")</f>
        <v>Israel, Tech</v>
      </c>
      <c r="E385" s="58" t="str">
        <f>IFERROR(__xludf.DUMMYFUNCTION("""COMPUTED_VALUE"""),"Taboola [DA: 01/25/21]")</f>
        <v>Taboola [DA: 01/25/21]</v>
      </c>
      <c r="F385" s="59" t="str">
        <f>IFERROR(__xludf.DUMMYFUNCTION("""COMPUTED_VALUE"""),"Jonathan Kolber (Fmr CEO, Koor Industries; Director, Fiverr)")</f>
        <v>Jonathan Kolber (Fmr CEO, Koor Industries; Director, Fiverr)</v>
      </c>
      <c r="G385" s="60">
        <f>IFERROR(__xludf.DUMMYFUNCTION("""COMPUTED_VALUE"""),2.5875E8)</f>
        <v>258750000</v>
      </c>
      <c r="H385" s="60">
        <f>IFERROR(__xludf.DUMMYFUNCTION("""COMPUTED_VALUE"""),2.6289E8)</f>
        <v>262890000</v>
      </c>
      <c r="I385" s="61">
        <f>IFERROR(__xludf.DUMMYFUNCTION("""COMPUTED_VALUE"""),10.16)</f>
        <v>10.16</v>
      </c>
      <c r="J385" s="62">
        <f>IFERROR(__xludf.DUMMYFUNCTION("""COMPUTED_VALUE"""),-0.00294)</f>
        <v>-0.00294</v>
      </c>
      <c r="K385" s="59">
        <f>IFERROR(__xludf.DUMMYFUNCTION("""COMPUTED_VALUE"""),10.45)</f>
        <v>10.45</v>
      </c>
      <c r="L385" s="63">
        <f>IFERROR(__xludf.DUMMYFUNCTION("""COMPUTED_VALUE"""),2.34)</f>
        <v>2.34</v>
      </c>
      <c r="M385" s="64" t="str">
        <f>IFERROR(__xludf.DUMMYFUNCTION("""COMPUTED_VALUE"""),"U: [1/5 W]; W: [1:1, $11.5]")</f>
        <v>U: [1/5 W]; W: [1:1, $11.5]</v>
      </c>
      <c r="N385" s="65" t="str">
        <f>IFERROR(__xludf.DUMMYFUNCTION("""COMPUTED_VALUE"""),"")</f>
        <v/>
      </c>
      <c r="O385" s="66">
        <f>IFERROR(__xludf.DUMMYFUNCTION("""COMPUTED_VALUE"""),0.0)</f>
        <v>0</v>
      </c>
      <c r="P385" s="67">
        <f>IFERROR(__xludf.DUMMYFUNCTION("""COMPUTED_VALUE"""),44105.0)</f>
        <v>44105</v>
      </c>
      <c r="Q385" s="68">
        <f>IFERROR(__xludf.DUMMYFUNCTION("""COMPUTED_VALUE"""),258.75)</f>
        <v>258.75</v>
      </c>
      <c r="R385" s="69" t="str">
        <f>IFERROR(__xludf.DUMMYFUNCTION("""COMPUTED_VALUE"""),"Cowen")</f>
        <v>Cowen</v>
      </c>
      <c r="S385" s="64">
        <f>IFERROR(__xludf.DUMMYFUNCTION("""COMPUTED_VALUE"""),44835.0)</f>
        <v>44835</v>
      </c>
      <c r="T385" s="70">
        <f>IFERROR(__xludf.DUMMYFUNCTION("""COMPUTED_VALUE"""),0.26164383561643834)</f>
        <v>0.2616438356</v>
      </c>
      <c r="U385" s="71" t="str">
        <f>IFERROR(__xludf.DUMMYFUNCTION("""COMPUTED_VALUE"""),"https://www.sec.gov/cgi-bin/browse-edgar?CIK=1821018")</f>
        <v>https://www.sec.gov/cgi-bin/browse-edgar?CIK=1821018</v>
      </c>
      <c r="V385" s="72" t="str">
        <f>IFERROR(__xludf.DUMMYFUNCTION("""COMPUTED_VALUE"""),"     Optionable       ")</f>
        <v>     Optionable       </v>
      </c>
      <c r="W385" s="73">
        <f>IFERROR(__xludf.DUMMYFUNCTION("""COMPUTED_VALUE"""),44221.0)</f>
        <v>44221</v>
      </c>
      <c r="X385" s="79">
        <f>IFERROR(__xludf.DUMMYFUNCTION("""COMPUTED_VALUE"""),3.8666666666666667)</f>
        <v>3.866666667</v>
      </c>
      <c r="Y385" s="80" t="str">
        <f>IFERROR(__xludf.DUMMYFUNCTION("""COMPUTED_VALUE"""),"https://www.prnewswire.com/news-releases/taboola-a-global-leader-in-powering-recommendations-for-the-open-web-to-become-nyse-listed-at-an-implied-2-6-billion-valuation-via-a-merger-with-ion-acquisition-corp-1-ltd-301213681.html")</f>
        <v>https://www.prnewswire.com/news-releases/taboola-a-global-leader-in-powering-recommendations-for-the-open-web-to-become-nyse-listed-at-an-implied-2-6-billion-valuation-via-a-merger-with-ion-acquisition-corp-1-ltd-301213681.html</v>
      </c>
      <c r="Z385" s="81" t="str">
        <f>IFERROR(__xludf.DUMMYFUNCTION("""COMPUTED_VALUE"""),"https://www.sec.gov/Archives/edgar/data/1821018/000121390021003869/ea133754ex99-2_ionacquis1.htm")</f>
        <v>https://www.sec.gov/Archives/edgar/data/1821018/000121390021003869/ea133754ex99-2_ionacquis1.htm</v>
      </c>
      <c r="AA385" s="60">
        <f>IFERROR(__xludf.DUMMYFUNCTION("""COMPUTED_VALUE"""),2.0E8)</f>
        <v>200000000</v>
      </c>
      <c r="AB385" s="60">
        <f>IFERROR(__xludf.DUMMYFUNCTION("""COMPUTED_VALUE"""),2.585E9)</f>
        <v>2585000000</v>
      </c>
      <c r="AC385" s="60">
        <f>IFERROR(__xludf.DUMMYFUNCTION("""COMPUTED_VALUE"""),2.0E9)</f>
        <v>2000000000</v>
      </c>
      <c r="AD385" s="73"/>
      <c r="AE385" s="73"/>
      <c r="AF385" s="76">
        <f>IFERROR(__xludf.DUMMYFUNCTION("""COMPUTED_VALUE"""),2.585E8)</f>
        <v>258500000</v>
      </c>
      <c r="AG385" s="60">
        <f>IFERROR(__xludf.DUMMYFUNCTION("""COMPUTED_VALUE"""),2.62636E9)</f>
        <v>2626360000</v>
      </c>
    </row>
    <row r="386">
      <c r="A386" s="54" t="str">
        <f>IFERROR(__xludf.DUMMYFUNCTION("""COMPUTED_VALUE"""),"IACB")</f>
        <v>IACB</v>
      </c>
      <c r="B386" s="55" t="str">
        <f>IFERROR(__xludf.DUMMYFUNCTION("""COMPUTED_VALUE"""),"ION Acquisition Corp 2 Ltd.")</f>
        <v>ION Acquisition Corp 2 Ltd.</v>
      </c>
      <c r="C386" s="56" t="str">
        <f>IFERROR(__xludf.DUMMYFUNCTION("""COMPUTED_VALUE"""),"Searching")</f>
        <v>Searching</v>
      </c>
      <c r="D386" s="77" t="str">
        <f>IFERROR(__xludf.DUMMYFUNCTION("""COMPUTED_VALUE"""),"Israel, Tech")</f>
        <v>Israel, Tech</v>
      </c>
      <c r="E386" s="58"/>
      <c r="F386" s="59" t="str">
        <f>IFERROR(__xludf.DUMMYFUNCTION("""COMPUTED_VALUE"""),"Jonathan Kolber (Fmr CEO, Koor Industries; Director, Fiverr)")</f>
        <v>Jonathan Kolber (Fmr CEO, Koor Industries; Director, Fiverr)</v>
      </c>
      <c r="G386" s="60">
        <f>IFERROR(__xludf.DUMMYFUNCTION("""COMPUTED_VALUE"""),2.53E8)</f>
        <v>253000000</v>
      </c>
      <c r="H386" s="60"/>
      <c r="I386" s="61">
        <f>IFERROR(__xludf.DUMMYFUNCTION("""COMPUTED_VALUE"""),10.2)</f>
        <v>10.2</v>
      </c>
      <c r="J386" s="62">
        <f>IFERROR(__xludf.DUMMYFUNCTION("""COMPUTED_VALUE"""),0.00493)</f>
        <v>0.00493</v>
      </c>
      <c r="K386" s="59">
        <f>IFERROR(__xludf.DUMMYFUNCTION("""COMPUTED_VALUE"""),10.3943)</f>
        <v>10.3943</v>
      </c>
      <c r="L386" s="63">
        <f>IFERROR(__xludf.DUMMYFUNCTION("""COMPUTED_VALUE"""),1.75)</f>
        <v>1.75</v>
      </c>
      <c r="M386" s="64" t="str">
        <f>IFERROR(__xludf.DUMMYFUNCTION("""COMPUTED_VALUE"""),"U: [1/8 W]; W: [1:1, $11.5]")</f>
        <v>U: [1/8 W]; W: [1:1, $11.5]</v>
      </c>
      <c r="N386" s="65">
        <f>IFERROR(__xludf.DUMMYFUNCTION("""COMPUTED_VALUE"""),44291.0)</f>
        <v>44291</v>
      </c>
      <c r="O386" s="66">
        <f>IFERROR(__xludf.DUMMYFUNCTION("""COMPUTED_VALUE"""),0.0)</f>
        <v>0</v>
      </c>
      <c r="P386" s="67">
        <f>IFERROR(__xludf.DUMMYFUNCTION("""COMPUTED_VALUE"""),44237.0)</f>
        <v>44237</v>
      </c>
      <c r="Q386" s="68">
        <f>IFERROR(__xludf.DUMMYFUNCTION("""COMPUTED_VALUE"""),253.0)</f>
        <v>253</v>
      </c>
      <c r="R386" s="69" t="str">
        <f>IFERROR(__xludf.DUMMYFUNCTION("""COMPUTED_VALUE"""),"Goldman Sachs, Morgan Stanley")</f>
        <v>Goldman Sachs, Morgan Stanley</v>
      </c>
      <c r="S386" s="64">
        <f>IFERROR(__xludf.DUMMYFUNCTION("""COMPUTED_VALUE"""),44967.0)</f>
        <v>44967</v>
      </c>
      <c r="T386" s="70">
        <f>IFERROR(__xludf.DUMMYFUNCTION("""COMPUTED_VALUE"""),0.08082191780821918)</f>
        <v>0.08082191781</v>
      </c>
      <c r="U386" s="71" t="str">
        <f>IFERROR(__xludf.DUMMYFUNCTION("""COMPUTED_VALUE"""),"https://www.sec.gov/cgi-bin/browse-edgar?CIK=1835378")</f>
        <v>https://www.sec.gov/cgi-bin/browse-edgar?CIK=1835378</v>
      </c>
      <c r="V386" s="72" t="str">
        <f>IFERROR(__xludf.DUMMYFUNCTION("""COMPUTED_VALUE"""),"           Top Tier UW ")</f>
        <v>           Top Tier UW </v>
      </c>
      <c r="W386" s="73"/>
      <c r="X386" s="74"/>
      <c r="Y386" s="75"/>
      <c r="Z386" s="60"/>
      <c r="AA386" s="60"/>
      <c r="AB386" s="60"/>
      <c r="AC386" s="60"/>
      <c r="AD386" s="73"/>
      <c r="AE386" s="73"/>
      <c r="AF386" s="76"/>
      <c r="AG386" s="60" t="str">
        <f>IFERROR(__xludf.DUMMYFUNCTION("""COMPUTED_VALUE"""),"")</f>
        <v/>
      </c>
    </row>
    <row r="387">
      <c r="A387" s="54" t="str">
        <f>IFERROR(__xludf.DUMMYFUNCTION("""COMPUTED_VALUE"""),"IACC")</f>
        <v>IACC</v>
      </c>
      <c r="B387" s="55" t="str">
        <f>IFERROR(__xludf.DUMMYFUNCTION("""COMPUTED_VALUE"""),"ION Acquisition Corp 3 Ltd.")</f>
        <v>ION Acquisition Corp 3 Ltd.</v>
      </c>
      <c r="C387" s="56" t="str">
        <f>IFERROR(__xludf.DUMMYFUNCTION("""COMPUTED_VALUE"""),"Pre IPO")</f>
        <v>Pre IPO</v>
      </c>
      <c r="D387" s="77" t="str">
        <f>IFERROR(__xludf.DUMMYFUNCTION("""COMPUTED_VALUE"""),"Israel, Tech")</f>
        <v>Israel, Tech</v>
      </c>
      <c r="E387" s="58"/>
      <c r="F387" s="59" t="str">
        <f>IFERROR(__xludf.DUMMYFUNCTION("""COMPUTED_VALUE"""),"Jonathan Kolber (Partner of Viola Growth and Chairman of ION Asset Management)")</f>
        <v>Jonathan Kolber (Partner of Viola Growth and Chairman of ION Asset Management)</v>
      </c>
      <c r="G387" s="60">
        <f>IFERROR(__xludf.DUMMYFUNCTION("""COMPUTED_VALUE"""),2.5E8)</f>
        <v>250000000</v>
      </c>
      <c r="H387" s="60" t="str">
        <f>IFERROR(__xludf.DUMMYFUNCTION("""COMPUTED_VALUE""")," ")</f>
        <v> </v>
      </c>
      <c r="I387" s="61" t="str">
        <f>IFERROR(__xludf.DUMMYFUNCTION("""COMPUTED_VALUE""")," ")</f>
        <v> </v>
      </c>
      <c r="J387" s="62" t="str">
        <f>IFERROR(__xludf.DUMMYFUNCTION("""COMPUTED_VALUE""")," ")</f>
        <v> </v>
      </c>
      <c r="K387" s="59" t="str">
        <f>IFERROR(__xludf.DUMMYFUNCTION("""COMPUTED_VALUE""")," ")</f>
        <v> </v>
      </c>
      <c r="L387" s="63" t="str">
        <f>IFERROR(__xludf.DUMMYFUNCTION("""COMPUTED_VALUE""")," ")</f>
        <v> </v>
      </c>
      <c r="M387" s="64" t="str">
        <f>IFERROR(__xludf.DUMMYFUNCTION("""COMPUTED_VALUE"""),"U: [1/8 W]; W: [1:1, $11.5]")</f>
        <v>U: [1/8 W]; W: [1:1, $11.5]</v>
      </c>
      <c r="N387" s="65" t="str">
        <f>IFERROR(__xludf.DUMMYFUNCTION("""COMPUTED_VALUE"""),"")</f>
        <v/>
      </c>
      <c r="O387" s="66">
        <f>IFERROR(__xludf.DUMMYFUNCTION("""COMPUTED_VALUE"""),0.0)</f>
        <v>0</v>
      </c>
      <c r="P387" s="67"/>
      <c r="Q387" s="68">
        <f>IFERROR(__xludf.DUMMYFUNCTION("""COMPUTED_VALUE"""),250.0)</f>
        <v>250</v>
      </c>
      <c r="R387" s="69" t="str">
        <f>IFERROR(__xludf.DUMMYFUNCTION("""COMPUTED_VALUE"""),"Morgan Stanley &amp; Co. LLC, Goldman Sachs &amp; Co. LLC")</f>
        <v>Morgan Stanley &amp; Co. LLC, Goldman Sachs &amp; Co. LLC</v>
      </c>
      <c r="S387" s="64">
        <f>IFERROR(__xludf.DUMMYFUNCTION("""COMPUTED_VALUE"""),45086.0)</f>
        <v>45086</v>
      </c>
      <c r="T387" s="70" t="str">
        <f>IFERROR(__xludf.DUMMYFUNCTION("""COMPUTED_VALUE"""),"")</f>
        <v/>
      </c>
      <c r="U387" s="71" t="str">
        <f>IFERROR(__xludf.DUMMYFUNCTION("""COMPUTED_VALUE"""),"https://www.sec.gov/cgi-bin/browse-edgar?CIK=1844579")</f>
        <v>https://www.sec.gov/cgi-bin/browse-edgar?CIK=1844579</v>
      </c>
      <c r="V387" s="72" t="str">
        <f>IFERROR(__xludf.DUMMYFUNCTION("""COMPUTED_VALUE"""),"        New Registration  Serial Sponsor Top Tier UW ")</f>
        <v>        New Registration  Serial Sponsor Top Tier UW </v>
      </c>
      <c r="W387" s="73"/>
      <c r="X387" s="74"/>
      <c r="Y387" s="75"/>
      <c r="Z387" s="60"/>
      <c r="AA387" s="60"/>
      <c r="AB387" s="60"/>
      <c r="AC387" s="60"/>
      <c r="AD387" s="73"/>
      <c r="AE387" s="73"/>
      <c r="AF387" s="76"/>
      <c r="AG387" s="60"/>
    </row>
    <row r="388">
      <c r="A388" s="54" t="str">
        <f>IFERROR(__xludf.DUMMYFUNCTION("""COMPUTED_VALUE"""),"IBER")</f>
        <v>IBER</v>
      </c>
      <c r="B388" s="55" t="str">
        <f>IFERROR(__xludf.DUMMYFUNCTION("""COMPUTED_VALUE"""),"Ibere Pharmaceuticals")</f>
        <v>Ibere Pharmaceuticals</v>
      </c>
      <c r="C388" s="56" t="str">
        <f>IFERROR(__xludf.DUMMYFUNCTION("""COMPUTED_VALUE"""),"Searching (Pre Unit Split)")</f>
        <v>Searching (Pre Unit Split)</v>
      </c>
      <c r="D388" s="57" t="str">
        <f>IFERROR(__xludf.DUMMYFUNCTION("""COMPUTED_VALUE"""),"Pharmaceuticals, Life Sciences, Healthcare")</f>
        <v>Pharmaceuticals, Life Sciences, Healthcare</v>
      </c>
      <c r="E388" s="58"/>
      <c r="F388" s="59"/>
      <c r="G388" s="60">
        <f>IFERROR(__xludf.DUMMYFUNCTION("""COMPUTED_VALUE"""),1.38E8)</f>
        <v>138000000</v>
      </c>
      <c r="H388" s="60" t="str">
        <f>IFERROR(__xludf.DUMMYFUNCTION("""COMPUTED_VALUE""")," ")</f>
        <v> </v>
      </c>
      <c r="I388" s="61" t="str">
        <f>IFERROR(__xludf.DUMMYFUNCTION("""COMPUTED_VALUE""")," ")</f>
        <v> </v>
      </c>
      <c r="J388" s="62" t="str">
        <f>IFERROR(__xludf.DUMMYFUNCTION("""COMPUTED_VALUE""")," ")</f>
        <v> </v>
      </c>
      <c r="K388" s="59">
        <f>IFERROR(__xludf.DUMMYFUNCTION("""COMPUTED_VALUE"""),10.2)</f>
        <v>10.2</v>
      </c>
      <c r="L388" s="63" t="str">
        <f>IFERROR(__xludf.DUMMYFUNCTION("""COMPUTED_VALUE""")," ")</f>
        <v> </v>
      </c>
      <c r="M388" s="64" t="str">
        <f>IFERROR(__xludf.DUMMYFUNCTION("""COMPUTED_VALUE"""),"U: [1/2 W]; W: [1:1, $11.5]")</f>
        <v>U: [1/2 W]; W: [1:1, $11.5]</v>
      </c>
      <c r="N388" s="65">
        <f>IFERROR(__xludf.DUMMYFUNCTION("""COMPUTED_VALUE"""),44305.0)</f>
        <v>44305</v>
      </c>
      <c r="O388" s="66" t="str">
        <f>IFERROR(__xludf.DUMMYFUNCTION("""COMPUTED_VALUE"""),"")</f>
        <v/>
      </c>
      <c r="P388" s="67">
        <f>IFERROR(__xludf.DUMMYFUNCTION("""COMPUTED_VALUE"""),44253.0)</f>
        <v>44253</v>
      </c>
      <c r="Q388" s="68">
        <f>IFERROR(__xludf.DUMMYFUNCTION("""COMPUTED_VALUE"""),138.0)</f>
        <v>138</v>
      </c>
      <c r="R388" s="69" t="str">
        <f>IFERROR(__xludf.DUMMYFUNCTION("""COMPUTED_VALUE"""),"Raymond James")</f>
        <v>Raymond James</v>
      </c>
      <c r="S388" s="64">
        <f>IFERROR(__xludf.DUMMYFUNCTION("""COMPUTED_VALUE"""),44983.0)</f>
        <v>44983</v>
      </c>
      <c r="T388" s="70">
        <f>IFERROR(__xludf.DUMMYFUNCTION("""COMPUTED_VALUE"""),0.0589041095890411)</f>
        <v>0.05890410959</v>
      </c>
      <c r="U388" s="71" t="str">
        <f>IFERROR(__xludf.DUMMYFUNCTION("""COMPUTED_VALUE"""),"https://www.sec.gov/cgi-bin/browse-edgar?CIK=1835205")</f>
        <v>https://www.sec.gov/cgi-bin/browse-edgar?CIK=1835205</v>
      </c>
      <c r="V388" s="72" t="str">
        <f>IFERROR(__xludf.DUMMYFUNCTION("""COMPUTED_VALUE"""),"            ")</f>
        <v>            </v>
      </c>
      <c r="W388" s="73"/>
      <c r="X388" s="74"/>
      <c r="Y388" s="75"/>
      <c r="Z388" s="60"/>
      <c r="AA388" s="60"/>
      <c r="AB388" s="60"/>
      <c r="AC388" s="60"/>
      <c r="AD388" s="73"/>
      <c r="AE388" s="73"/>
      <c r="AF388" s="76"/>
      <c r="AG388" s="60"/>
    </row>
    <row r="389">
      <c r="A389" s="54" t="str">
        <f>IFERROR(__xludf.DUMMYFUNCTION("""COMPUTED_VALUE"""),"ICGA")</f>
        <v>ICGA</v>
      </c>
      <c r="B389" s="55" t="str">
        <f>IFERROR(__xludf.DUMMYFUNCTION("""COMPUTED_VALUE"""),"ICG Hypersonic Acquisition Corp.")</f>
        <v>ICG Hypersonic Acquisition Corp.</v>
      </c>
      <c r="C389" s="56" t="str">
        <f>IFERROR(__xludf.DUMMYFUNCTION("""COMPUTED_VALUE"""),"Pre IPO")</f>
        <v>Pre IPO</v>
      </c>
      <c r="D389" s="77" t="str">
        <f>IFERROR(__xludf.DUMMYFUNCTION("""COMPUTED_VALUE"""),"Proptech")</f>
        <v>Proptech</v>
      </c>
      <c r="E389" s="58"/>
      <c r="F389" s="59" t="str">
        <f>IFERROR(__xludf.DUMMYFUNCTION("""COMPUTED_VALUE"""),"Jeff Blau (CEO, The Related Companies; Director, Equinox Holdings &amp; Wharton Graduate School), William Lauder (Exec Chairman/Fmr CEO, Estée Lauder Companies; Director, Jarden), Peter Levine (GP, Andreessen Horowitz), Andrea Olshan (Fmr CEO, Olshan Properti"&amp;"es), Henry Silverman (Fmr Chairman/CEO, Cendant; Fmr COO/Vice Chairman, Apollo)")</f>
        <v>Jeff Blau (CEO, The Related Companies; Director, Equinox Holdings &amp; Wharton Graduate School), William Lauder (Exec Chairman/Fmr CEO, Estée Lauder Companies; Director, Jarden), Peter Levine (GP, Andreessen Horowitz), Andrea Olshan (Fmr CEO, Olshan Properties), Henry Silverman (Fmr Chairman/CEO, Cendant; Fmr COO/Vice Chairman, Apollo)</v>
      </c>
      <c r="G389" s="60">
        <f>IFERROR(__xludf.DUMMYFUNCTION("""COMPUTED_VALUE"""),2.5E8)</f>
        <v>250000000</v>
      </c>
      <c r="H389" s="60" t="str">
        <f>IFERROR(__xludf.DUMMYFUNCTION("""COMPUTED_VALUE""")," ")</f>
        <v> </v>
      </c>
      <c r="I389" s="61" t="str">
        <f>IFERROR(__xludf.DUMMYFUNCTION("""COMPUTED_VALUE""")," ")</f>
        <v> </v>
      </c>
      <c r="J389" s="62" t="str">
        <f>IFERROR(__xludf.DUMMYFUNCTION("""COMPUTED_VALUE""")," ")</f>
        <v> </v>
      </c>
      <c r="K389" s="59" t="str">
        <f>IFERROR(__xludf.DUMMYFUNCTION("""COMPUTED_VALUE""")," ")</f>
        <v> </v>
      </c>
      <c r="L389" s="63" t="str">
        <f>IFERROR(__xludf.DUMMYFUNCTION("""COMPUTED_VALUE""")," ")</f>
        <v> </v>
      </c>
      <c r="M389" s="64" t="str">
        <f>IFERROR(__xludf.DUMMYFUNCTION("""COMPUTED_VALUE"""),"U: [1/3 W]; W: [1:1, $11.5]")</f>
        <v>U: [1/3 W]; W: [1:1, $11.5]</v>
      </c>
      <c r="N389" s="65" t="str">
        <f>IFERROR(__xludf.DUMMYFUNCTION("""COMPUTED_VALUE"""),"")</f>
        <v/>
      </c>
      <c r="O389" s="66">
        <f>IFERROR(__xludf.DUMMYFUNCTION("""COMPUTED_VALUE"""),0.0)</f>
        <v>0</v>
      </c>
      <c r="P389" s="67"/>
      <c r="Q389" s="68">
        <f>IFERROR(__xludf.DUMMYFUNCTION("""COMPUTED_VALUE"""),250.0)</f>
        <v>250</v>
      </c>
      <c r="R389" s="69" t="str">
        <f>IFERROR(__xludf.DUMMYFUNCTION("""COMPUTED_VALUE"""),"Barclays")</f>
        <v>Barclays</v>
      </c>
      <c r="S389" s="64">
        <f>IFERROR(__xludf.DUMMYFUNCTION("""COMPUTED_VALUE"""),45086.0)</f>
        <v>45086</v>
      </c>
      <c r="T389" s="70" t="str">
        <f>IFERROR(__xludf.DUMMYFUNCTION("""COMPUTED_VALUE"""),"")</f>
        <v/>
      </c>
      <c r="U389" s="71" t="str">
        <f>IFERROR(__xludf.DUMMYFUNCTION("""COMPUTED_VALUE"""),"https://www.sec.gov/cgi-bin/browse-edgar?CIK=1837177")</f>
        <v>https://www.sec.gov/cgi-bin/browse-edgar?CIK=1837177</v>
      </c>
      <c r="V389" s="72" t="str">
        <f>IFERROR(__xludf.DUMMYFUNCTION("""COMPUTED_VALUE"""),"         Well-known Sponsor   ")</f>
        <v>         Well-known Sponsor   </v>
      </c>
      <c r="W389" s="73"/>
      <c r="X389" s="74"/>
      <c r="Y389" s="75"/>
      <c r="Z389" s="60"/>
      <c r="AA389" s="60"/>
      <c r="AB389" s="60"/>
      <c r="AC389" s="60"/>
      <c r="AD389" s="73"/>
      <c r="AE389" s="73"/>
      <c r="AF389" s="76"/>
      <c r="AG389" s="60"/>
    </row>
    <row r="390">
      <c r="A390" s="54" t="str">
        <f>IFERROR(__xludf.DUMMYFUNCTION("""COMPUTED_VALUE"""),"IGAC")</f>
        <v>IGAC</v>
      </c>
      <c r="B390" s="55" t="str">
        <f>IFERROR(__xludf.DUMMYFUNCTION("""COMPUTED_VALUE"""),"IG Acquisition Corp.")</f>
        <v>IG Acquisition Corp.</v>
      </c>
      <c r="C390" s="56" t="str">
        <f>IFERROR(__xludf.DUMMYFUNCTION("""COMPUTED_VALUE"""),"Searching")</f>
        <v>Searching</v>
      </c>
      <c r="D390" s="77" t="str">
        <f>IFERROR(__xludf.DUMMYFUNCTION("""COMPUTED_VALUE"""),"Leisure, Gaming and Hospitality")</f>
        <v>Leisure, Gaming and Hospitality</v>
      </c>
      <c r="E390" s="58"/>
      <c r="F390" s="59" t="str">
        <f>IFERROR(__xludf.DUMMYFUNCTION("""COMPUTED_VALUE"""),"Bradley Tusk (Co-founder Tusk Ventures; Co-founder/Chairman, Ivory Gaming Group)")</f>
        <v>Bradley Tusk (Co-founder Tusk Ventures; Co-founder/Chairman, Ivory Gaming Group)</v>
      </c>
      <c r="G390" s="60">
        <f>IFERROR(__xludf.DUMMYFUNCTION("""COMPUTED_VALUE"""),3.0E8)</f>
        <v>300000000</v>
      </c>
      <c r="H390" s="60">
        <f>IFERROR(__xludf.DUMMYFUNCTION("""COMPUTED_VALUE"""),2.994E8)</f>
        <v>299400000</v>
      </c>
      <c r="I390" s="61">
        <f>IFERROR(__xludf.DUMMYFUNCTION("""COMPUTED_VALUE"""),9.98)</f>
        <v>9.98</v>
      </c>
      <c r="J390" s="62">
        <f>IFERROR(__xludf.DUMMYFUNCTION("""COMPUTED_VALUE"""),0.00201)</f>
        <v>0.00201</v>
      </c>
      <c r="K390" s="59">
        <f>IFERROR(__xludf.DUMMYFUNCTION("""COMPUTED_VALUE"""),10.46)</f>
        <v>10.46</v>
      </c>
      <c r="L390" s="63">
        <f>IFERROR(__xludf.DUMMYFUNCTION("""COMPUTED_VALUE"""),1.08)</f>
        <v>1.08</v>
      </c>
      <c r="M390" s="64" t="str">
        <f>IFERROR(__xludf.DUMMYFUNCTION("""COMPUTED_VALUE"""),"U: [1/2 W]; W: [1:1, $11.5]")</f>
        <v>U: [1/2 W]; W: [1:1, $11.5]</v>
      </c>
      <c r="N390" s="65" t="str">
        <f>IFERROR(__xludf.DUMMYFUNCTION("""COMPUTED_VALUE"""),"")</f>
        <v/>
      </c>
      <c r="O390" s="66">
        <f>IFERROR(__xludf.DUMMYFUNCTION("""COMPUTED_VALUE"""),0.0)</f>
        <v>0</v>
      </c>
      <c r="P390" s="67">
        <f>IFERROR(__xludf.DUMMYFUNCTION("""COMPUTED_VALUE"""),44104.0)</f>
        <v>44104</v>
      </c>
      <c r="Q390" s="68">
        <f>IFERROR(__xludf.DUMMYFUNCTION("""COMPUTED_VALUE"""),300.0)</f>
        <v>300</v>
      </c>
      <c r="R390" s="69" t="str">
        <f>IFERROR(__xludf.DUMMYFUNCTION("""COMPUTED_VALUE"""),"Cantor")</f>
        <v>Cantor</v>
      </c>
      <c r="S390" s="64">
        <f>IFERROR(__xludf.DUMMYFUNCTION("""COMPUTED_VALUE"""),44834.0)</f>
        <v>44834</v>
      </c>
      <c r="T390" s="70">
        <f>IFERROR(__xludf.DUMMYFUNCTION("""COMPUTED_VALUE"""),0.26301369863013696)</f>
        <v>0.2630136986</v>
      </c>
      <c r="U390" s="71" t="str">
        <f>IFERROR(__xludf.DUMMYFUNCTION("""COMPUTED_VALUE"""),"https://www.sec.gov/cgi-bin/browse-edgar?CIK=1819496")</f>
        <v>https://www.sec.gov/cgi-bin/browse-edgar?CIK=1819496</v>
      </c>
      <c r="V390" s="72" t="str">
        <f>IFERROR(__xludf.DUMMYFUNCTION("""COMPUTED_VALUE""")," Trading Below $10 (Common)    Optionable    Well-known Sponsor   ")</f>
        <v> Trading Below $10 (Common)    Optionable    Well-known Sponsor   </v>
      </c>
      <c r="W390" s="73"/>
      <c r="X390" s="74"/>
      <c r="Y390" s="75"/>
      <c r="Z390" s="60"/>
      <c r="AA390" s="60"/>
      <c r="AB390" s="60"/>
      <c r="AC390" s="60"/>
      <c r="AD390" s="73"/>
      <c r="AE390" s="73"/>
      <c r="AF390" s="76"/>
      <c r="AG390" s="60" t="str">
        <f>IFERROR(__xludf.DUMMYFUNCTION("""COMPUTED_VALUE"""),"")</f>
        <v/>
      </c>
    </row>
    <row r="391">
      <c r="A391" s="54" t="str">
        <f>IFERROR(__xludf.DUMMYFUNCTION("""COMPUTED_VALUE"""),"IGNY")</f>
        <v>IGNY</v>
      </c>
      <c r="B391" s="55" t="str">
        <f>IFERROR(__xludf.DUMMYFUNCTION("""COMPUTED_VALUE"""),"Ignyte Acquisition Corp.")</f>
        <v>Ignyte Acquisition Corp.</v>
      </c>
      <c r="C391" s="56" t="str">
        <f>IFERROR(__xludf.DUMMYFUNCTION("""COMPUTED_VALUE"""),"Searching")</f>
        <v>Searching</v>
      </c>
      <c r="D391" s="57" t="str">
        <f>IFERROR(__xludf.DUMMYFUNCTION("""COMPUTED_VALUE"""),"Life Sciences, Biotech, Healthcare")</f>
        <v>Life Sciences, Biotech, Healthcare</v>
      </c>
      <c r="E391" s="58"/>
      <c r="F391" s="59" t="str">
        <f>IFERROR(__xludf.DUMMYFUNCTION("""COMPUTED_VALUE"""),"David Rosenberg (Co-CEO, Ladenburg Thalmann)")</f>
        <v>David Rosenberg (Co-CEO, Ladenburg Thalmann)</v>
      </c>
      <c r="G391" s="60">
        <f>IFERROR(__xludf.DUMMYFUNCTION("""COMPUTED_VALUE"""),5.75E7)</f>
        <v>57500000</v>
      </c>
      <c r="H391" s="60">
        <f>IFERROR(__xludf.DUMMYFUNCTION("""COMPUTED_VALUE"""),7.1344625E7)</f>
        <v>71344625</v>
      </c>
      <c r="I391" s="61">
        <f>IFERROR(__xludf.DUMMYFUNCTION("""COMPUTED_VALUE"""),9.79)</f>
        <v>9.79</v>
      </c>
      <c r="J391" s="62">
        <f>IFERROR(__xludf.DUMMYFUNCTION("""COMPUTED_VALUE"""),-0.00204)</f>
        <v>-0.00204</v>
      </c>
      <c r="K391" s="59">
        <f>IFERROR(__xludf.DUMMYFUNCTION("""COMPUTED_VALUE"""),10.17)</f>
        <v>10.17</v>
      </c>
      <c r="L391" s="63">
        <f>IFERROR(__xludf.DUMMYFUNCTION("""COMPUTED_VALUE"""),0.85)</f>
        <v>0.85</v>
      </c>
      <c r="M391" s="64" t="str">
        <f>IFERROR(__xludf.DUMMYFUNCTION("""COMPUTED_VALUE"""),"U: [1/2 W]; W: [1:1, $11.5]")</f>
        <v>U: [1/2 W]; W: [1:1, $11.5]</v>
      </c>
      <c r="N391" s="65">
        <f>IFERROR(__xludf.DUMMYFUNCTION("""COMPUTED_VALUE"""),44267.0)</f>
        <v>44267</v>
      </c>
      <c r="O391" s="66">
        <f>IFERROR(__xludf.DUMMYFUNCTION("""COMPUTED_VALUE"""),0.0)</f>
        <v>0</v>
      </c>
      <c r="P391" s="67">
        <f>IFERROR(__xludf.DUMMYFUNCTION("""COMPUTED_VALUE"""),44223.0)</f>
        <v>44223</v>
      </c>
      <c r="Q391" s="68">
        <f>IFERROR(__xludf.DUMMYFUNCTION("""COMPUTED_VALUE"""),57.5)</f>
        <v>57.5</v>
      </c>
      <c r="R391" s="85" t="str">
        <f>IFERROR(__xludf.DUMMYFUNCTION("""COMPUTED_VALUE"""),"EarlyBirdCapital")</f>
        <v>EarlyBirdCapital</v>
      </c>
      <c r="S391" s="64">
        <f>IFERROR(__xludf.DUMMYFUNCTION("""COMPUTED_VALUE"""),44861.75)</f>
        <v>44861.75</v>
      </c>
      <c r="T391" s="70">
        <f>IFERROR(__xludf.DUMMYFUNCTION("""COMPUTED_VALUE"""),0.11428571428571428)</f>
        <v>0.1142857143</v>
      </c>
      <c r="U391" s="71" t="str">
        <f>IFERROR(__xludf.DUMMYFUNCTION("""COMPUTED_VALUE"""),"https://www.sec.gov/cgi-bin/browse-edgar?CIK=1834645")</f>
        <v>https://www.sec.gov/cgi-bin/browse-edgar?CIK=1834645</v>
      </c>
      <c r="V391" s="72" t="str">
        <f>IFERROR(__xludf.DUMMYFUNCTION("""COMPUTED_VALUE""")," Trading Below $10 (Common)           ")</f>
        <v> Trading Below $10 (Common)           </v>
      </c>
      <c r="W391" s="73"/>
      <c r="X391" s="74"/>
      <c r="Y391" s="75"/>
      <c r="Z391" s="60"/>
      <c r="AA391" s="60"/>
      <c r="AB391" s="60"/>
      <c r="AC391" s="60"/>
      <c r="AD391" s="73"/>
      <c r="AE391" s="73"/>
      <c r="AF391" s="76"/>
      <c r="AG391" s="60" t="str">
        <f>IFERROR(__xludf.DUMMYFUNCTION("""COMPUTED_VALUE"""),"")</f>
        <v/>
      </c>
    </row>
    <row r="392">
      <c r="A392" s="54" t="str">
        <f>IFERROR(__xludf.DUMMYFUNCTION("""COMPUTED_VALUE"""),"IIAC")</f>
        <v>IIAC</v>
      </c>
      <c r="B392" s="55" t="str">
        <f>IFERROR(__xludf.DUMMYFUNCTION("""COMPUTED_VALUE"""),"Investindustrial Acquisition Corp.")</f>
        <v>Investindustrial Acquisition Corp.</v>
      </c>
      <c r="C392" s="56" t="str">
        <f>IFERROR(__xludf.DUMMYFUNCTION("""COMPUTED_VALUE"""),"Searching")</f>
        <v>Searching</v>
      </c>
      <c r="D392" s="57"/>
      <c r="E392" s="58"/>
      <c r="F392" s="59"/>
      <c r="G392" s="60">
        <f>IFERROR(__xludf.DUMMYFUNCTION("""COMPUTED_VALUE"""),4.025E8)</f>
        <v>402500000</v>
      </c>
      <c r="H392" s="60">
        <f>IFERROR(__xludf.DUMMYFUNCTION("""COMPUTED_VALUE"""),4.01695E8)</f>
        <v>401695000</v>
      </c>
      <c r="I392" s="61">
        <f>IFERROR(__xludf.DUMMYFUNCTION("""COMPUTED_VALUE"""),9.98)</f>
        <v>9.98</v>
      </c>
      <c r="J392" s="62">
        <f>IFERROR(__xludf.DUMMYFUNCTION("""COMPUTED_VALUE"""),0.001)</f>
        <v>0.001</v>
      </c>
      <c r="K392" s="59">
        <f>IFERROR(__xludf.DUMMYFUNCTION("""COMPUTED_VALUE"""),10.22)</f>
        <v>10.22</v>
      </c>
      <c r="L392" s="63">
        <f>IFERROR(__xludf.DUMMYFUNCTION("""COMPUTED_VALUE"""),1.0801)</f>
        <v>1.0801</v>
      </c>
      <c r="M392" s="64" t="str">
        <f>IFERROR(__xludf.DUMMYFUNCTION("""COMPUTED_VALUE"""),"U: [1/3 W]; W: [1:1, $11.5]")</f>
        <v>U: [1/3 W]; W: [1:1, $11.5]</v>
      </c>
      <c r="N392" s="65" t="str">
        <f>IFERROR(__xludf.DUMMYFUNCTION("""COMPUTED_VALUE"""),"")</f>
        <v/>
      </c>
      <c r="O392" s="66">
        <f>IFERROR(__xludf.DUMMYFUNCTION("""COMPUTED_VALUE"""),0.0)</f>
        <v>0</v>
      </c>
      <c r="P392" s="67">
        <f>IFERROR(__xludf.DUMMYFUNCTION("""COMPUTED_VALUE"""),44153.0)</f>
        <v>44153</v>
      </c>
      <c r="Q392" s="68">
        <f>IFERROR(__xludf.DUMMYFUNCTION("""COMPUTED_VALUE"""),402.5)</f>
        <v>402.5</v>
      </c>
      <c r="R392" s="69" t="str">
        <f>IFERROR(__xludf.DUMMYFUNCTION("""COMPUTED_VALUE"""),"Deutsche Bank, Goldman Sachs")</f>
        <v>Deutsche Bank, Goldman Sachs</v>
      </c>
      <c r="S392" s="64">
        <f>IFERROR(__xludf.DUMMYFUNCTION("""COMPUTED_VALUE"""),44883.0)</f>
        <v>44883</v>
      </c>
      <c r="T392" s="70">
        <f>IFERROR(__xludf.DUMMYFUNCTION("""COMPUTED_VALUE"""),0.1958904109589041)</f>
        <v>0.195890411</v>
      </c>
      <c r="U392" s="71" t="str">
        <f>IFERROR(__xludf.DUMMYFUNCTION("""COMPUTED_VALUE"""),"https://www.sec.gov/cgi-bin/browse-edgar?CIK=1825042")</f>
        <v>https://www.sec.gov/cgi-bin/browse-edgar?CIK=1825042</v>
      </c>
      <c r="V392" s="72" t="str">
        <f>IFERROR(__xludf.DUMMYFUNCTION("""COMPUTED_VALUE""")," Trading Below $10 (Common)          Top Tier UW ")</f>
        <v> Trading Below $10 (Common)          Top Tier UW </v>
      </c>
      <c r="W392" s="73"/>
      <c r="X392" s="74"/>
      <c r="Y392" s="75"/>
      <c r="Z392" s="60"/>
      <c r="AA392" s="60"/>
      <c r="AB392" s="60"/>
      <c r="AC392" s="60"/>
      <c r="AD392" s="73"/>
      <c r="AE392" s="73"/>
      <c r="AF392" s="76"/>
      <c r="AG392" s="60" t="str">
        <f>IFERROR(__xludf.DUMMYFUNCTION("""COMPUTED_VALUE"""),"")</f>
        <v/>
      </c>
    </row>
    <row r="393">
      <c r="A393" s="54" t="str">
        <f>IFERROR(__xludf.DUMMYFUNCTION("""COMPUTED_VALUE"""),"IIII")</f>
        <v>IIII</v>
      </c>
      <c r="B393" s="55" t="str">
        <f>IFERROR(__xludf.DUMMYFUNCTION("""COMPUTED_VALUE"""),"INSU Acquisition Corp. III")</f>
        <v>INSU Acquisition Corp. III</v>
      </c>
      <c r="C393" s="56" t="str">
        <f>IFERROR(__xludf.DUMMYFUNCTION("""COMPUTED_VALUE"""),"Searching")</f>
        <v>Searching</v>
      </c>
      <c r="D393" s="57" t="str">
        <f>IFERROR(__xludf.DUMMYFUNCTION("""COMPUTED_VALUE"""),"Insurance, InsureTech")</f>
        <v>Insurance, InsureTech</v>
      </c>
      <c r="E393" s="58"/>
      <c r="F393" s="59" t="str">
        <f>IFERROR(__xludf.DUMMYFUNCTION("""COMPUTED_VALUE"""),"Cohen &amp; Company ")</f>
        <v>Cohen &amp; Company </v>
      </c>
      <c r="G393" s="60">
        <f>IFERROR(__xludf.DUMMYFUNCTION("""COMPUTED_VALUE"""),2.5E8)</f>
        <v>250000000</v>
      </c>
      <c r="H393" s="60">
        <f>IFERROR(__xludf.DUMMYFUNCTION("""COMPUTED_VALUE"""),2.5498275E8)</f>
        <v>254982750</v>
      </c>
      <c r="I393" s="61">
        <f>IFERROR(__xludf.DUMMYFUNCTION("""COMPUTED_VALUE"""),9.97)</f>
        <v>9.97</v>
      </c>
      <c r="J393" s="62">
        <f>IFERROR(__xludf.DUMMYFUNCTION("""COMPUTED_VALUE"""),-0.001)</f>
        <v>-0.001</v>
      </c>
      <c r="K393" s="59">
        <f>IFERROR(__xludf.DUMMYFUNCTION("""COMPUTED_VALUE"""),10.39)</f>
        <v>10.39</v>
      </c>
      <c r="L393" s="63">
        <f>IFERROR(__xludf.DUMMYFUNCTION("""COMPUTED_VALUE"""),1.0204)</f>
        <v>1.0204</v>
      </c>
      <c r="M393" s="64" t="str">
        <f>IFERROR(__xludf.DUMMYFUNCTION("""COMPUTED_VALUE"""),"U: [1/3 W]; W: [1:1, $11.5]")</f>
        <v>U: [1/3 W]; W: [1:1, $11.5]</v>
      </c>
      <c r="N393" s="65">
        <f>IFERROR(__xludf.DUMMYFUNCTION("""COMPUTED_VALUE"""),44235.0)</f>
        <v>44235</v>
      </c>
      <c r="O393" s="66">
        <f>IFERROR(__xludf.DUMMYFUNCTION("""COMPUTED_VALUE"""),0.0)</f>
        <v>0</v>
      </c>
      <c r="P393" s="67">
        <f>IFERROR(__xludf.DUMMYFUNCTION("""COMPUTED_VALUE"""),44182.0)</f>
        <v>44182</v>
      </c>
      <c r="Q393" s="68">
        <f>IFERROR(__xludf.DUMMYFUNCTION("""COMPUTED_VALUE"""),250.0)</f>
        <v>250</v>
      </c>
      <c r="R393" s="69"/>
      <c r="S393" s="64">
        <f>IFERROR(__xludf.DUMMYFUNCTION("""COMPUTED_VALUE"""),44912.0)</f>
        <v>44912</v>
      </c>
      <c r="T393" s="70">
        <f>IFERROR(__xludf.DUMMYFUNCTION("""COMPUTED_VALUE"""),0.15616438356164383)</f>
        <v>0.1561643836</v>
      </c>
      <c r="U393" s="71" t="str">
        <f>IFERROR(__xludf.DUMMYFUNCTION("""COMPUTED_VALUE"""),"https://www.sec.gov/cgi-bin/browse-edgar?CIK=1829889")</f>
        <v>https://www.sec.gov/cgi-bin/browse-edgar?CIK=1829889</v>
      </c>
      <c r="V393" s="72" t="str">
        <f>IFERROR(__xludf.DUMMYFUNCTION("""COMPUTED_VALUE""")," Trading Below $10 (Common)        Well-known Sponsor Serial Sponsor  ")</f>
        <v> Trading Below $10 (Common)        Well-known Sponsor Serial Sponsor  </v>
      </c>
      <c r="W393" s="73"/>
      <c r="X393" s="74"/>
      <c r="Y393" s="75"/>
      <c r="Z393" s="60"/>
      <c r="AA393" s="60"/>
      <c r="AB393" s="60"/>
      <c r="AC393" s="60"/>
      <c r="AD393" s="73"/>
      <c r="AE393" s="73"/>
      <c r="AF393" s="76"/>
      <c r="AG393" s="60" t="str">
        <f>IFERROR(__xludf.DUMMYFUNCTION("""COMPUTED_VALUE"""),"")</f>
        <v/>
      </c>
    </row>
    <row r="394">
      <c r="A394" s="54" t="str">
        <f>IFERROR(__xludf.DUMMYFUNCTION("""COMPUTED_VALUE"""),"ILAC")</f>
        <v>ILAC</v>
      </c>
      <c r="B394" s="55" t="str">
        <f>IFERROR(__xludf.DUMMYFUNCTION("""COMPUTED_VALUE"""),"Innovatus Life Sciences Acquisition Corp.")</f>
        <v>Innovatus Life Sciences Acquisition Corp.</v>
      </c>
      <c r="C394" s="56" t="str">
        <f>IFERROR(__xludf.DUMMYFUNCTION("""COMPUTED_VALUE"""),"Pre IPO")</f>
        <v>Pre IPO</v>
      </c>
      <c r="D394" s="77" t="str">
        <f>IFERROR(__xludf.DUMMYFUNCTION("""COMPUTED_VALUE"""),"Life Sciences, Healthcare")</f>
        <v>Life Sciences, Healthcare</v>
      </c>
      <c r="E394" s="58"/>
      <c r="F394" s="59"/>
      <c r="G394" s="60">
        <f>IFERROR(__xludf.DUMMYFUNCTION("""COMPUTED_VALUE"""),1.75E8)</f>
        <v>175000000</v>
      </c>
      <c r="H394" s="60" t="str">
        <f>IFERROR(__xludf.DUMMYFUNCTION("""COMPUTED_VALUE""")," ")</f>
        <v> </v>
      </c>
      <c r="I394" s="61" t="str">
        <f>IFERROR(__xludf.DUMMYFUNCTION("""COMPUTED_VALUE""")," ")</f>
        <v> </v>
      </c>
      <c r="J394" s="62" t="str">
        <f>IFERROR(__xludf.DUMMYFUNCTION("""COMPUTED_VALUE""")," ")</f>
        <v> </v>
      </c>
      <c r="K394" s="59" t="str">
        <f>IFERROR(__xludf.DUMMYFUNCTION("""COMPUTED_VALUE""")," ")</f>
        <v> </v>
      </c>
      <c r="L394" s="63" t="str">
        <f>IFERROR(__xludf.DUMMYFUNCTION("""COMPUTED_VALUE""")," ")</f>
        <v> </v>
      </c>
      <c r="M394" s="64" t="str">
        <f>IFERROR(__xludf.DUMMYFUNCTION("""COMPUTED_VALUE"""),"U: [No Units]; W: [No Warrants]")</f>
        <v>U: [No Units]; W: [No Warrants]</v>
      </c>
      <c r="N394" s="65" t="str">
        <f>IFERROR(__xludf.DUMMYFUNCTION("""COMPUTED_VALUE"""),"")</f>
        <v/>
      </c>
      <c r="O394" s="66">
        <f>IFERROR(__xludf.DUMMYFUNCTION("""COMPUTED_VALUE"""),0.0)</f>
        <v>0</v>
      </c>
      <c r="P394" s="67"/>
      <c r="Q394" s="68">
        <f>IFERROR(__xludf.DUMMYFUNCTION("""COMPUTED_VALUE"""),175.0)</f>
        <v>175</v>
      </c>
      <c r="R394" s="69" t="str">
        <f>IFERROR(__xludf.DUMMYFUNCTION("""COMPUTED_VALUE"""),"UBS Investment Bank")</f>
        <v>UBS Investment Bank</v>
      </c>
      <c r="S394" s="64">
        <f>IFERROR(__xludf.DUMMYFUNCTION("""COMPUTED_VALUE"""),45086.0)</f>
        <v>45086</v>
      </c>
      <c r="T394" s="70" t="str">
        <f>IFERROR(__xludf.DUMMYFUNCTION("""COMPUTED_VALUE"""),"")</f>
        <v/>
      </c>
      <c r="U394" s="71" t="str">
        <f>IFERROR(__xludf.DUMMYFUNCTION("""COMPUTED_VALUE"""),"https://www.sec.gov/cgi-bin/browse-edgar?CIK=1846550")</f>
        <v>https://www.sec.gov/cgi-bin/browse-edgar?CIK=1846550</v>
      </c>
      <c r="V394" s="72" t="str">
        <f>IFERROR(__xludf.DUMMYFUNCTION("""COMPUTED_VALUE"""),"        New Registration    ")</f>
        <v>        New Registration    </v>
      </c>
      <c r="W394" s="73"/>
      <c r="X394" s="74"/>
      <c r="Y394" s="75"/>
      <c r="Z394" s="60"/>
      <c r="AA394" s="60"/>
      <c r="AB394" s="60"/>
      <c r="AC394" s="60"/>
      <c r="AD394" s="73"/>
      <c r="AE394" s="73"/>
      <c r="AF394" s="76"/>
      <c r="AG394" s="60"/>
    </row>
    <row r="395">
      <c r="A395" s="54" t="str">
        <f>IFERROR(__xludf.DUMMYFUNCTION("""COMPUTED_VALUE"""),"IMAQ")</f>
        <v>IMAQ</v>
      </c>
      <c r="B395" s="55" t="str">
        <f>IFERROR(__xludf.DUMMYFUNCTION("""COMPUTED_VALUE"""),"International Media Acquisition Corp.")</f>
        <v>International Media Acquisition Corp.</v>
      </c>
      <c r="C395" s="56" t="str">
        <f>IFERROR(__xludf.DUMMYFUNCTION("""COMPUTED_VALUE"""),"Pre IPO")</f>
        <v>Pre IPO</v>
      </c>
      <c r="D395" s="77" t="str">
        <f>IFERROR(__xludf.DUMMYFUNCTION("""COMPUTED_VALUE"""),"Media and Entertainment")</f>
        <v>Media and Entertainment</v>
      </c>
      <c r="E395" s="58"/>
      <c r="F395" s="59" t="str">
        <f>IFERROR(__xludf.DUMMYFUNCTION("""COMPUTED_VALUE"""),"Greg Silverman (Founder &amp; CEO of Stampede Ventures)")</f>
        <v>Greg Silverman (Founder &amp; CEO of Stampede Ventures)</v>
      </c>
      <c r="G395" s="60">
        <f>IFERROR(__xludf.DUMMYFUNCTION("""COMPUTED_VALUE"""),2.0E8)</f>
        <v>200000000</v>
      </c>
      <c r="H395" s="60" t="str">
        <f>IFERROR(__xludf.DUMMYFUNCTION("""COMPUTED_VALUE""")," ")</f>
        <v> </v>
      </c>
      <c r="I395" s="61" t="str">
        <f>IFERROR(__xludf.DUMMYFUNCTION("""COMPUTED_VALUE""")," ")</f>
        <v> </v>
      </c>
      <c r="J395" s="62" t="str">
        <f>IFERROR(__xludf.DUMMYFUNCTION("""COMPUTED_VALUE""")," ")</f>
        <v> </v>
      </c>
      <c r="K395" s="59" t="str">
        <f>IFERROR(__xludf.DUMMYFUNCTION("""COMPUTED_VALUE""")," ")</f>
        <v> </v>
      </c>
      <c r="L395" s="63" t="str">
        <f>IFERROR(__xludf.DUMMYFUNCTION("""COMPUTED_VALUE""")," ")</f>
        <v> </v>
      </c>
      <c r="M395" s="64" t="str">
        <f>IFERROR(__xludf.DUMMYFUNCTION("""COMPUTED_VALUE"""),"U: [1/3 W]; W: [1:1, $11.5]")</f>
        <v>U: [1/3 W]; W: [1:1, $11.5]</v>
      </c>
      <c r="N395" s="65" t="str">
        <f>IFERROR(__xludf.DUMMYFUNCTION("""COMPUTED_VALUE"""),"")</f>
        <v/>
      </c>
      <c r="O395" s="66">
        <f>IFERROR(__xludf.DUMMYFUNCTION("""COMPUTED_VALUE"""),0.0)</f>
        <v>0</v>
      </c>
      <c r="P395" s="67"/>
      <c r="Q395" s="68">
        <f>IFERROR(__xludf.DUMMYFUNCTION("""COMPUTED_VALUE"""),200.0)</f>
        <v>200</v>
      </c>
      <c r="R395" s="69" t="str">
        <f>IFERROR(__xludf.DUMMYFUNCTION("""COMPUTED_VALUE"""),"Chardan")</f>
        <v>Chardan</v>
      </c>
      <c r="S395" s="64">
        <f>IFERROR(__xludf.DUMMYFUNCTION("""COMPUTED_VALUE"""),45086.0)</f>
        <v>45086</v>
      </c>
      <c r="T395" s="70" t="str">
        <f>IFERROR(__xludf.DUMMYFUNCTION("""COMPUTED_VALUE"""),"")</f>
        <v/>
      </c>
      <c r="U395" s="71" t="str">
        <f>IFERROR(__xludf.DUMMYFUNCTION("""COMPUTED_VALUE"""),"https://www.sec.gov/cgi-bin/browse-edgar?CIK=1846235")</f>
        <v>https://www.sec.gov/cgi-bin/browse-edgar?CIK=1846235</v>
      </c>
      <c r="V395" s="72" t="str">
        <f>IFERROR(__xludf.DUMMYFUNCTION("""COMPUTED_VALUE"""),"        New Registration    ")</f>
        <v>        New Registration    </v>
      </c>
      <c r="W395" s="73"/>
      <c r="X395" s="74"/>
      <c r="Y395" s="75"/>
      <c r="Z395" s="60"/>
      <c r="AA395" s="60"/>
      <c r="AB395" s="60"/>
      <c r="AC395" s="60"/>
      <c r="AD395" s="73"/>
      <c r="AE395" s="73"/>
      <c r="AF395" s="76"/>
      <c r="AG395" s="60"/>
    </row>
    <row r="396">
      <c r="A396" s="54" t="str">
        <f>IFERROR(__xludf.DUMMYFUNCTION("""COMPUTED_VALUE"""),"IMPX")</f>
        <v>IMPX</v>
      </c>
      <c r="B396" s="55" t="str">
        <f>IFERROR(__xludf.DUMMYFUNCTION("""COMPUTED_VALUE"""),"AEA-Bridges Impact Corp.")</f>
        <v>AEA-Bridges Impact Corp.</v>
      </c>
      <c r="C396" s="56" t="str">
        <f>IFERROR(__xludf.DUMMYFUNCTION("""COMPUTED_VALUE"""),"Searching")</f>
        <v>Searching</v>
      </c>
      <c r="D396" s="77" t="str">
        <f>IFERROR(__xludf.DUMMYFUNCTION("""COMPUTED_VALUE"""),"value-added industrials, including sustainable energy and energy efficiency, education, circular economy, consumer, healthcare, and business services")</f>
        <v>value-added industrials, including sustainable energy and energy efficiency, education, circular economy, consumer, healthcare, and business services</v>
      </c>
      <c r="E396" s="58"/>
      <c r="F396" s="59"/>
      <c r="G396" s="60">
        <f>IFERROR(__xludf.DUMMYFUNCTION("""COMPUTED_VALUE"""),4.0E8)</f>
        <v>400000000</v>
      </c>
      <c r="H396" s="60">
        <f>IFERROR(__xludf.DUMMYFUNCTION("""COMPUTED_VALUE"""),4.004E8)</f>
        <v>400400000</v>
      </c>
      <c r="I396" s="61">
        <f>IFERROR(__xludf.DUMMYFUNCTION("""COMPUTED_VALUE"""),10.01)</f>
        <v>10.01</v>
      </c>
      <c r="J396" s="62">
        <f>IFERROR(__xludf.DUMMYFUNCTION("""COMPUTED_VALUE"""),0.00704)</f>
        <v>0.00704</v>
      </c>
      <c r="K396" s="59">
        <f>IFERROR(__xludf.DUMMYFUNCTION("""COMPUTED_VALUE"""),10.55)</f>
        <v>10.55</v>
      </c>
      <c r="L396" s="63">
        <f>IFERROR(__xludf.DUMMYFUNCTION("""COMPUTED_VALUE"""),1.02)</f>
        <v>1.02</v>
      </c>
      <c r="M396" s="64" t="str">
        <f>IFERROR(__xludf.DUMMYFUNCTION("""COMPUTED_VALUE"""),"U: [1/2 W]; W: [1:1, $11.5]")</f>
        <v>U: [1/2 W]; W: [1:1, $11.5]</v>
      </c>
      <c r="N396" s="65" t="str">
        <f>IFERROR(__xludf.DUMMYFUNCTION("""COMPUTED_VALUE"""),"")</f>
        <v/>
      </c>
      <c r="O396" s="66">
        <f>IFERROR(__xludf.DUMMYFUNCTION("""COMPUTED_VALUE"""),0.0)</f>
        <v>0</v>
      </c>
      <c r="P396" s="67">
        <f>IFERROR(__xludf.DUMMYFUNCTION("""COMPUTED_VALUE"""),44105.0)</f>
        <v>44105</v>
      </c>
      <c r="Q396" s="68">
        <f>IFERROR(__xludf.DUMMYFUNCTION("""COMPUTED_VALUE"""),400.0)</f>
        <v>400</v>
      </c>
      <c r="R396" s="85" t="str">
        <f>IFERROR(__xludf.DUMMYFUNCTION("""COMPUTED_VALUE"""),"Credit Suisse, Citigroup")</f>
        <v>Credit Suisse, Citigroup</v>
      </c>
      <c r="S396" s="64">
        <f>IFERROR(__xludf.DUMMYFUNCTION("""COMPUTED_VALUE"""),44835.0)</f>
        <v>44835</v>
      </c>
      <c r="T396" s="70">
        <f>IFERROR(__xludf.DUMMYFUNCTION("""COMPUTED_VALUE"""),0.26164383561643834)</f>
        <v>0.2616438356</v>
      </c>
      <c r="U396" s="71" t="str">
        <f>IFERROR(__xludf.DUMMYFUNCTION("""COMPUTED_VALUE"""),"https://www.sec.gov/cgi-bin/browse-edgar?CIK=1820191")</f>
        <v>https://www.sec.gov/cgi-bin/browse-edgar?CIK=1820191</v>
      </c>
      <c r="V396" s="72" t="str">
        <f>IFERROR(__xludf.DUMMYFUNCTION("""COMPUTED_VALUE"""),"Sustainability           Top Tier UW ")</f>
        <v>Sustainability           Top Tier UW </v>
      </c>
      <c r="W396" s="73"/>
      <c r="X396" s="74"/>
      <c r="Y396" s="75"/>
      <c r="Z396" s="60"/>
      <c r="AA396" s="60"/>
      <c r="AB396" s="60"/>
      <c r="AC396" s="60"/>
      <c r="AD396" s="73"/>
      <c r="AE396" s="73"/>
      <c r="AF396" s="76"/>
      <c r="AG396" s="60" t="str">
        <f>IFERROR(__xludf.DUMMYFUNCTION("""COMPUTED_VALUE"""),"")</f>
        <v/>
      </c>
    </row>
    <row r="397">
      <c r="A397" s="54" t="str">
        <f>IFERROR(__xludf.DUMMYFUNCTION("""COMPUTED_VALUE"""),"INKA")</f>
        <v>INKA</v>
      </c>
      <c r="B397" s="55" t="str">
        <f>IFERROR(__xludf.DUMMYFUNCTION("""COMPUTED_VALUE"""),"KludeIn I Acquisition Corp.")</f>
        <v>KludeIn I Acquisition Corp.</v>
      </c>
      <c r="C397" s="56" t="str">
        <f>IFERROR(__xludf.DUMMYFUNCTION("""COMPUTED_VALUE"""),"Searching")</f>
        <v>Searching</v>
      </c>
      <c r="D397" s="57" t="str">
        <f>IFERROR(__xludf.DUMMYFUNCTION("""COMPUTED_VALUE"""),"Software, Tech-enabled")</f>
        <v>Software, Tech-enabled</v>
      </c>
      <c r="E397" s="58"/>
      <c r="F397" s="59"/>
      <c r="G397" s="60">
        <f>IFERROR(__xludf.DUMMYFUNCTION("""COMPUTED_VALUE"""),1.725E8)</f>
        <v>172500000</v>
      </c>
      <c r="H397" s="60">
        <f>IFERROR(__xludf.DUMMYFUNCTION("""COMPUTED_VALUE"""),1.70085E8)</f>
        <v>170085000</v>
      </c>
      <c r="I397" s="61">
        <f>IFERROR(__xludf.DUMMYFUNCTION("""COMPUTED_VALUE"""),9.86)</f>
        <v>9.86</v>
      </c>
      <c r="J397" s="62">
        <f>IFERROR(__xludf.DUMMYFUNCTION("""COMPUTED_VALUE"""),0.00407)</f>
        <v>0.00407</v>
      </c>
      <c r="K397" s="59">
        <f>IFERROR(__xludf.DUMMYFUNCTION("""COMPUTED_VALUE"""),10.24)</f>
        <v>10.24</v>
      </c>
      <c r="L397" s="63">
        <f>IFERROR(__xludf.DUMMYFUNCTION("""COMPUTED_VALUE"""),0.67)</f>
        <v>0.67</v>
      </c>
      <c r="M397" s="64" t="str">
        <f>IFERROR(__xludf.DUMMYFUNCTION("""COMPUTED_VALUE"""),"U: [1/2 W]; W: [1:1, $11.5]")</f>
        <v>U: [1/2 W]; W: [1:1, $11.5]</v>
      </c>
      <c r="N397" s="65">
        <f>IFERROR(__xludf.DUMMYFUNCTION("""COMPUTED_VALUE"""),44256.0)</f>
        <v>44256</v>
      </c>
      <c r="O397" s="66">
        <f>IFERROR(__xludf.DUMMYFUNCTION("""COMPUTED_VALUE"""),0.0)</f>
        <v>0</v>
      </c>
      <c r="P397" s="67">
        <f>IFERROR(__xludf.DUMMYFUNCTION("""COMPUTED_VALUE"""),44202.0)</f>
        <v>44202</v>
      </c>
      <c r="Q397" s="68">
        <f>IFERROR(__xludf.DUMMYFUNCTION("""COMPUTED_VALUE"""),172.5)</f>
        <v>172.5</v>
      </c>
      <c r="R397" s="85" t="str">
        <f>IFERROR(__xludf.DUMMYFUNCTION("""COMPUTED_VALUE"""),"BTIG")</f>
        <v>BTIG</v>
      </c>
      <c r="S397" s="64">
        <f>IFERROR(__xludf.DUMMYFUNCTION("""COMPUTED_VALUE"""),44932.0)</f>
        <v>44932</v>
      </c>
      <c r="T397" s="70">
        <f>IFERROR(__xludf.DUMMYFUNCTION("""COMPUTED_VALUE"""),0.12876712328767123)</f>
        <v>0.1287671233</v>
      </c>
      <c r="U397" s="71" t="str">
        <f>IFERROR(__xludf.DUMMYFUNCTION("""COMPUTED_VALUE"""),"https://www.sec.gov/cgi-bin/browse-edgar?CIK=1826671")</f>
        <v>https://www.sec.gov/cgi-bin/browse-edgar?CIK=1826671</v>
      </c>
      <c r="V397" s="72" t="str">
        <f>IFERROR(__xludf.DUMMYFUNCTION("""COMPUTED_VALUE""")," Trading Below $10 (Common)           ")</f>
        <v> Trading Below $10 (Common)           </v>
      </c>
      <c r="W397" s="73"/>
      <c r="X397" s="74"/>
      <c r="Y397" s="75"/>
      <c r="Z397" s="60"/>
      <c r="AA397" s="60"/>
      <c r="AB397" s="60"/>
      <c r="AC397" s="60"/>
      <c r="AD397" s="73"/>
      <c r="AE397" s="73"/>
      <c r="AF397" s="76"/>
      <c r="AG397" s="60" t="str">
        <f>IFERROR(__xludf.DUMMYFUNCTION("""COMPUTED_VALUE"""),"")</f>
        <v/>
      </c>
    </row>
    <row r="398">
      <c r="A398" s="54" t="str">
        <f>IFERROR(__xludf.DUMMYFUNCTION("""COMPUTED_VALUE"""),"IPAX")</f>
        <v>IPAX</v>
      </c>
      <c r="B398" s="55" t="str">
        <f>IFERROR(__xludf.DUMMYFUNCTION("""COMPUTED_VALUE"""),"Inflection Point Acquisition Corp.")</f>
        <v>Inflection Point Acquisition Corp.</v>
      </c>
      <c r="C398" s="56" t="str">
        <f>IFERROR(__xludf.DUMMYFUNCTION("""COMPUTED_VALUE"""),"Pre IPO")</f>
        <v>Pre IPO</v>
      </c>
      <c r="D398" s="77" t="str">
        <f>IFERROR(__xludf.DUMMYFUNCTION("""COMPUTED_VALUE"""),"Consumer, Tech")</f>
        <v>Consumer, Tech</v>
      </c>
      <c r="E398" s="58"/>
      <c r="F398" s="59" t="str">
        <f>IFERROR(__xludf.DUMMYFUNCTION("""COMPUTED_VALUE"""),"Paula Sutter (Director of ThredUp)")</f>
        <v>Paula Sutter (Director of ThredUp)</v>
      </c>
      <c r="G398" s="60">
        <f>IFERROR(__xludf.DUMMYFUNCTION("""COMPUTED_VALUE"""),3.0E8)</f>
        <v>300000000</v>
      </c>
      <c r="H398" s="60" t="str">
        <f>IFERROR(__xludf.DUMMYFUNCTION("""COMPUTED_VALUE""")," ")</f>
        <v> </v>
      </c>
      <c r="I398" s="61" t="str">
        <f>IFERROR(__xludf.DUMMYFUNCTION("""COMPUTED_VALUE""")," ")</f>
        <v> </v>
      </c>
      <c r="J398" s="62" t="str">
        <f>IFERROR(__xludf.DUMMYFUNCTION("""COMPUTED_VALUE""")," ")</f>
        <v> </v>
      </c>
      <c r="K398" s="59" t="str">
        <f>IFERROR(__xludf.DUMMYFUNCTION("""COMPUTED_VALUE""")," ")</f>
        <v> </v>
      </c>
      <c r="L398" s="63" t="str">
        <f>IFERROR(__xludf.DUMMYFUNCTION("""COMPUTED_VALUE""")," ")</f>
        <v> </v>
      </c>
      <c r="M398" s="64" t="str">
        <f>IFERROR(__xludf.DUMMYFUNCTION("""COMPUTED_VALUE"""),"U: [1/3 W]; W: [1:1, $11.5]")</f>
        <v>U: [1/3 W]; W: [1:1, $11.5]</v>
      </c>
      <c r="N398" s="65" t="str">
        <f>IFERROR(__xludf.DUMMYFUNCTION("""COMPUTED_VALUE"""),"")</f>
        <v/>
      </c>
      <c r="O398" s="66">
        <f>IFERROR(__xludf.DUMMYFUNCTION("""COMPUTED_VALUE"""),0.0)</f>
        <v>0</v>
      </c>
      <c r="P398" s="67"/>
      <c r="Q398" s="68">
        <f>IFERROR(__xludf.DUMMYFUNCTION("""COMPUTED_VALUE"""),300.0)</f>
        <v>300</v>
      </c>
      <c r="R398" s="85" t="str">
        <f>IFERROR(__xludf.DUMMYFUNCTION("""COMPUTED_VALUE"""),"Citigroup")</f>
        <v>Citigroup</v>
      </c>
      <c r="S398" s="64">
        <f>IFERROR(__xludf.DUMMYFUNCTION("""COMPUTED_VALUE"""),45086.0)</f>
        <v>45086</v>
      </c>
      <c r="T398" s="70" t="str">
        <f>IFERROR(__xludf.DUMMYFUNCTION("""COMPUTED_VALUE"""),"")</f>
        <v/>
      </c>
      <c r="U398" s="71" t="str">
        <f>IFERROR(__xludf.DUMMYFUNCTION("""COMPUTED_VALUE"""),"https://www.sec.gov/cgi-bin/browse-edgar?CIK=1844452")</f>
        <v>https://www.sec.gov/cgi-bin/browse-edgar?CIK=1844452</v>
      </c>
      <c r="V398" s="72" t="str">
        <f>IFERROR(__xludf.DUMMYFUNCTION("""COMPUTED_VALUE"""),"           Top Tier UW ")</f>
        <v>           Top Tier UW </v>
      </c>
      <c r="W398" s="73"/>
      <c r="X398" s="74"/>
      <c r="Y398" s="75"/>
      <c r="Z398" s="60"/>
      <c r="AA398" s="60"/>
      <c r="AB398" s="60"/>
      <c r="AC398" s="60"/>
      <c r="AD398" s="73"/>
      <c r="AE398" s="73"/>
      <c r="AF398" s="76"/>
      <c r="AG398" s="60"/>
    </row>
    <row r="399">
      <c r="A399" s="54" t="str">
        <f>IFERROR(__xludf.DUMMYFUNCTION("""COMPUTED_VALUE"""),"IPOD")</f>
        <v>IPOD</v>
      </c>
      <c r="B399" s="55" t="str">
        <f>IFERROR(__xludf.DUMMYFUNCTION("""COMPUTED_VALUE"""),"Social Capital Hedosophia Holdings Corp. IV")</f>
        <v>Social Capital Hedosophia Holdings Corp. IV</v>
      </c>
      <c r="C399" s="56" t="str">
        <f>IFERROR(__xludf.DUMMYFUNCTION("""COMPUTED_VALUE"""),"Searching")</f>
        <v>Searching</v>
      </c>
      <c r="D399" s="57" t="str">
        <f>IFERROR(__xludf.DUMMYFUNCTION("""COMPUTED_VALUE"""),"Tech")</f>
        <v>Tech</v>
      </c>
      <c r="E399" s="58"/>
      <c r="F399" s="59" t="str">
        <f>IFERROR(__xludf.DUMMYFUNCTION("""COMPUTED_VALUE"""),"Chamath Palihapitiya (Managing Partner, Social Capital), Ian Osborne (Co-founder/CEO, Hedosophia), Nirav Tolia (Co-founder/Fmr CEO 
Nextdoor), Joanne Bradford (President, Honey; Former COO, SoFi; Fmr CRO, Microsoft), Katie Stanton (Founder, Moxxie Venture"&amp;"s; Fmr VP Global Media, Twitter)")</f>
        <v>Chamath Palihapitiya (Managing Partner, Social Capital), Ian Osborne (Co-founder/CEO, Hedosophia), Nirav Tolia (Co-founder/Fmr CEO 
Nextdoor), Joanne Bradford (President, Honey; Former COO, SoFi; Fmr CRO, Microsoft), Katie Stanton (Founder, Moxxie Ventures; Fmr VP Global Media, Twitter)</v>
      </c>
      <c r="G399" s="60">
        <f>IFERROR(__xludf.DUMMYFUNCTION("""COMPUTED_VALUE"""),4.60009831E8)</f>
        <v>460009831</v>
      </c>
      <c r="H399" s="60">
        <f>IFERROR(__xludf.DUMMYFUNCTION("""COMPUTED_VALUE"""),5.2946E8)</f>
        <v>529460000</v>
      </c>
      <c r="I399" s="61">
        <f>IFERROR(__xludf.DUMMYFUNCTION("""COMPUTED_VALUE"""),11.51)</f>
        <v>11.51</v>
      </c>
      <c r="J399" s="62">
        <f>IFERROR(__xludf.DUMMYFUNCTION("""COMPUTED_VALUE"""),0.0141)</f>
        <v>0.0141</v>
      </c>
      <c r="K399" s="59">
        <f>IFERROR(__xludf.DUMMYFUNCTION("""COMPUTED_VALUE"""),12.2)</f>
        <v>12.2</v>
      </c>
      <c r="L399" s="63">
        <f>IFERROR(__xludf.DUMMYFUNCTION("""COMPUTED_VALUE"""),3.06)</f>
        <v>3.06</v>
      </c>
      <c r="M399" s="64" t="str">
        <f>IFERROR(__xludf.DUMMYFUNCTION("""COMPUTED_VALUE"""),"U: [1/4 W]; W: [1:1, $11.5]")</f>
        <v>U: [1/4 W]; W: [1:1, $11.5]</v>
      </c>
      <c r="N399" s="65" t="str">
        <f>IFERROR(__xludf.DUMMYFUNCTION("""COMPUTED_VALUE"""),"")</f>
        <v/>
      </c>
      <c r="O399" s="66">
        <f>IFERROR(__xludf.DUMMYFUNCTION("""COMPUTED_VALUE"""),0.009999999999999787)</f>
        <v>0.01</v>
      </c>
      <c r="P399" s="67">
        <f>IFERROR(__xludf.DUMMYFUNCTION("""COMPUTED_VALUE"""),44112.0)</f>
        <v>44112</v>
      </c>
      <c r="Q399" s="68">
        <f>IFERROR(__xludf.DUMMYFUNCTION("""COMPUTED_VALUE"""),460.0)</f>
        <v>460</v>
      </c>
      <c r="R399" s="69" t="str">
        <f>IFERROR(__xludf.DUMMYFUNCTION("""COMPUTED_VALUE"""),"Credit Suisse")</f>
        <v>Credit Suisse</v>
      </c>
      <c r="S399" s="64">
        <f>IFERROR(__xludf.DUMMYFUNCTION("""COMPUTED_VALUE"""),44842.0)</f>
        <v>44842</v>
      </c>
      <c r="T399" s="70">
        <f>IFERROR(__xludf.DUMMYFUNCTION("""COMPUTED_VALUE"""),0.25205479452054796)</f>
        <v>0.2520547945</v>
      </c>
      <c r="U399" s="71" t="str">
        <f>IFERROR(__xludf.DUMMYFUNCTION("""COMPUTED_VALUE"""),"https://www.sec.gov/cgi-bin/browse-edgar?CIK=1818876")</f>
        <v>https://www.sec.gov/cgi-bin/browse-edgar?CIK=1818876</v>
      </c>
      <c r="V399" s="72" t="str">
        <f>IFERROR(__xludf.DUMMYFUNCTION("""COMPUTED_VALUE"""),"Venture Capital     Optionable    Well-known Sponsor Serial Sponsor  ")</f>
        <v>Venture Capital     Optionable    Well-known Sponsor Serial Sponsor  </v>
      </c>
      <c r="W399" s="73"/>
      <c r="X399" s="74"/>
      <c r="Y399" s="75"/>
      <c r="Z399" s="60"/>
      <c r="AA399" s="60"/>
      <c r="AB399" s="60"/>
      <c r="AC399" s="60"/>
      <c r="AD399" s="73"/>
      <c r="AE399" s="73"/>
      <c r="AF399" s="76"/>
      <c r="AG399" s="60" t="str">
        <f>IFERROR(__xludf.DUMMYFUNCTION("""COMPUTED_VALUE"""),"")</f>
        <v/>
      </c>
    </row>
    <row r="400">
      <c r="A400" s="54" t="str">
        <f>IFERROR(__xludf.DUMMYFUNCTION("""COMPUTED_VALUE"""),"IPOE")</f>
        <v>IPOE</v>
      </c>
      <c r="B400" s="55" t="str">
        <f>IFERROR(__xludf.DUMMYFUNCTION("""COMPUTED_VALUE"""),"Social Capital Hedosophia Holdings Corp. V")</f>
        <v>Social Capital Hedosophia Holdings Corp. V</v>
      </c>
      <c r="C400" s="56" t="str">
        <f>IFERROR(__xludf.DUMMYFUNCTION("""COMPUTED_VALUE"""),"Definitive Agreement")</f>
        <v>Definitive Agreement</v>
      </c>
      <c r="D400" s="57" t="str">
        <f>IFERROR(__xludf.DUMMYFUNCTION("""COMPUTED_VALUE"""),"Tech")</f>
        <v>Tech</v>
      </c>
      <c r="E400" s="58" t="str">
        <f>IFERROR(__xludf.DUMMYFUNCTION("""COMPUTED_VALUE"""),"SoFi [DA: 01/07/21]")</f>
        <v>SoFi [DA: 01/07/21]</v>
      </c>
      <c r="F400" s="59" t="str">
        <f>IFERROR(__xludf.DUMMYFUNCTION("""COMPUTED_VALUE"""),"Chamath Palihapitiya (Managing Partner, Social Capital), Ian Osborne (Co-founder/CEO, Hedosophia), Jay Parikh (Head of Engineering, Facebook), Jennifer Dulski (Fmr Pres/COO, Change.org)")</f>
        <v>Chamath Palihapitiya (Managing Partner, Social Capital), Ian Osborne (Co-founder/CEO, Hedosophia), Jay Parikh (Head of Engineering, Facebook), Jennifer Dulski (Fmr Pres/COO, Change.org)</v>
      </c>
      <c r="G400" s="60">
        <f>IFERROR(__xludf.DUMMYFUNCTION("""COMPUTED_VALUE"""),8.05017218E8)</f>
        <v>805017218</v>
      </c>
      <c r="H400" s="60">
        <f>IFERROR(__xludf.DUMMYFUNCTION("""COMPUTED_VALUE"""),1.77952334E10)</f>
        <v>17795233400</v>
      </c>
      <c r="I400" s="61">
        <f>IFERROR(__xludf.DUMMYFUNCTION("""COMPUTED_VALUE"""),17.77)</f>
        <v>17.77</v>
      </c>
      <c r="J400" s="62">
        <f>IFERROR(__xludf.DUMMYFUNCTION("""COMPUTED_VALUE"""),-0.0204)</f>
        <v>-0.0204</v>
      </c>
      <c r="K400" s="59">
        <f>IFERROR(__xludf.DUMMYFUNCTION("""COMPUTED_VALUE"""),19.4)</f>
        <v>19.4</v>
      </c>
      <c r="L400" s="63">
        <f>IFERROR(__xludf.DUMMYFUNCTION("""COMPUTED_VALUE"""),6.2)</f>
        <v>6.2</v>
      </c>
      <c r="M400" s="64" t="str">
        <f>IFERROR(__xludf.DUMMYFUNCTION("""COMPUTED_VALUE"""),"U: [1/4 W]; W: [1:1, $11.5]")</f>
        <v>U: [1/4 W]; W: [1:1, $11.5]</v>
      </c>
      <c r="N400" s="65" t="str">
        <f>IFERROR(__xludf.DUMMYFUNCTION("""COMPUTED_VALUE"""),"")</f>
        <v/>
      </c>
      <c r="O400" s="66">
        <f>IFERROR(__xludf.DUMMYFUNCTION("""COMPUTED_VALUE"""),6.27)</f>
        <v>6.27</v>
      </c>
      <c r="P400" s="67">
        <f>IFERROR(__xludf.DUMMYFUNCTION("""COMPUTED_VALUE"""),44112.0)</f>
        <v>44112</v>
      </c>
      <c r="Q400" s="68">
        <f>IFERROR(__xludf.DUMMYFUNCTION("""COMPUTED_VALUE"""),805.0)</f>
        <v>805</v>
      </c>
      <c r="R400" s="69" t="str">
        <f>IFERROR(__xludf.DUMMYFUNCTION("""COMPUTED_VALUE"""),"Credit Suisse")</f>
        <v>Credit Suisse</v>
      </c>
      <c r="S400" s="64">
        <f>IFERROR(__xludf.DUMMYFUNCTION("""COMPUTED_VALUE"""),44842.0)</f>
        <v>44842</v>
      </c>
      <c r="T400" s="70">
        <f>IFERROR(__xludf.DUMMYFUNCTION("""COMPUTED_VALUE"""),0.25205479452054796)</f>
        <v>0.2520547945</v>
      </c>
      <c r="U400" s="71" t="str">
        <f>IFERROR(__xludf.DUMMYFUNCTION("""COMPUTED_VALUE"""),"https://www.sec.gov/cgi-bin/browse-edgar?CIK=1818874")</f>
        <v>https://www.sec.gov/cgi-bin/browse-edgar?CIK=1818874</v>
      </c>
      <c r="V400" s="72" t="str">
        <f>IFERROR(__xludf.DUMMYFUNCTION("""COMPUTED_VALUE"""),"Venture Capital   $500M+ Trust Optionable    Well-known Sponsor Serial Sponsor  ")</f>
        <v>Venture Capital   $500M+ Trust Optionable    Well-known Sponsor Serial Sponsor  </v>
      </c>
      <c r="W400" s="73">
        <f>IFERROR(__xludf.DUMMYFUNCTION("""COMPUTED_VALUE"""),44203.0)</f>
        <v>44203</v>
      </c>
      <c r="X400" s="79">
        <f>IFERROR(__xludf.DUMMYFUNCTION("""COMPUTED_VALUE"""),3.033333333333333)</f>
        <v>3.033333333</v>
      </c>
      <c r="Y400" s="80" t="str">
        <f>IFERROR(__xludf.DUMMYFUNCTION("""COMPUTED_VALUE"""),"https://www.businesswire.com/news/home/20210107005746/en/SoFi-A-Leading-Next-Generation-Financial-Services-Platform-to-Become-Publicly-traded-via-Merger-with-Social-Capital-Hedosophia")</f>
        <v>https://www.businesswire.com/news/home/20210107005746/en/SoFi-A-Leading-Next-Generation-Financial-Services-Platform-to-Become-Publicly-traded-via-Merger-with-Social-Capital-Hedosophia</v>
      </c>
      <c r="Z400" s="81" t="str">
        <f>IFERROR(__xludf.DUMMYFUNCTION("""COMPUTED_VALUE"""),"https://www.sec.gov/Archives/edgar/data/1818874/000110465921001951/tm211973d1_ex99-2.htm")</f>
        <v>https://www.sec.gov/Archives/edgar/data/1818874/000110465921001951/tm211973d1_ex99-2.htm</v>
      </c>
      <c r="AA400" s="60">
        <f>IFERROR(__xludf.DUMMYFUNCTION("""COMPUTED_VALUE"""),1.225E9)</f>
        <v>1225000000</v>
      </c>
      <c r="AB400" s="60">
        <f>IFERROR(__xludf.DUMMYFUNCTION("""COMPUTED_VALUE"""),8.651E9)</f>
        <v>8651000000</v>
      </c>
      <c r="AC400" s="60">
        <f>IFERROR(__xludf.DUMMYFUNCTION("""COMPUTED_VALUE"""),6.741E9)</f>
        <v>6741000000</v>
      </c>
      <c r="AD400" s="73"/>
      <c r="AE400" s="73"/>
      <c r="AF400" s="76">
        <f>IFERROR(__xludf.DUMMYFUNCTION("""COMPUTED_VALUE"""),8.651E8)</f>
        <v>865100000</v>
      </c>
      <c r="AG400" s="60">
        <f>IFERROR(__xludf.DUMMYFUNCTION("""COMPUTED_VALUE"""),1.5372827E10)</f>
        <v>15372827000</v>
      </c>
    </row>
    <row r="401">
      <c r="A401" s="54" t="str">
        <f>IFERROR(__xludf.DUMMYFUNCTION("""COMPUTED_VALUE"""),"IPOF")</f>
        <v>IPOF</v>
      </c>
      <c r="B401" s="55" t="str">
        <f>IFERROR(__xludf.DUMMYFUNCTION("""COMPUTED_VALUE"""),"Social Capital Hedosophia Holdings Corp. VI")</f>
        <v>Social Capital Hedosophia Holdings Corp. VI</v>
      </c>
      <c r="C401" s="56" t="str">
        <f>IFERROR(__xludf.DUMMYFUNCTION("""COMPUTED_VALUE"""),"Searching")</f>
        <v>Searching</v>
      </c>
      <c r="D401" s="57" t="str">
        <f>IFERROR(__xludf.DUMMYFUNCTION("""COMPUTED_VALUE"""),"Tech")</f>
        <v>Tech</v>
      </c>
      <c r="E401" s="58"/>
      <c r="F401" s="59" t="str">
        <f>IFERROR(__xludf.DUMMYFUNCTION("""COMPUTED_VALUE"""),"Chamath Palihapitiya (Managing Partner, Social Capital), Ian Osborne (Co-founder/CEO, Hedosophia), Richard Costolo (Fmr CEO, Twitter), Sarah Leary (Co-founder, Nextdoor; Venture Partner, Unusual Ventures)")</f>
        <v>Chamath Palihapitiya (Managing Partner, Social Capital), Ian Osborne (Co-founder/CEO, Hedosophia), Richard Costolo (Fmr CEO, Twitter), Sarah Leary (Co-founder, Nextdoor; Venture Partner, Unusual Ventures)</v>
      </c>
      <c r="G401" s="60">
        <f>IFERROR(__xludf.DUMMYFUNCTION("""COMPUTED_VALUE"""),1.15E9)</f>
        <v>1150000000</v>
      </c>
      <c r="H401" s="60">
        <f>IFERROR(__xludf.DUMMYFUNCTION("""COMPUTED_VALUE"""),1.2604E9)</f>
        <v>1260400000</v>
      </c>
      <c r="I401" s="61">
        <f>IFERROR(__xludf.DUMMYFUNCTION("""COMPUTED_VALUE"""),10.96)</f>
        <v>10.96</v>
      </c>
      <c r="J401" s="62">
        <f>IFERROR(__xludf.DUMMYFUNCTION("""COMPUTED_VALUE"""),-0.01616)</f>
        <v>-0.01616</v>
      </c>
      <c r="K401" s="59">
        <f>IFERROR(__xludf.DUMMYFUNCTION("""COMPUTED_VALUE"""),11.71)</f>
        <v>11.71</v>
      </c>
      <c r="L401" s="63">
        <f>IFERROR(__xludf.DUMMYFUNCTION("""COMPUTED_VALUE"""),3.0)</f>
        <v>3</v>
      </c>
      <c r="M401" s="64" t="str">
        <f>IFERROR(__xludf.DUMMYFUNCTION("""COMPUTED_VALUE"""),"U: [1/4 W]; W: [1:1, $11.5]")</f>
        <v>U: [1/4 W]; W: [1:1, $11.5]</v>
      </c>
      <c r="N401" s="65" t="str">
        <f>IFERROR(__xludf.DUMMYFUNCTION("""COMPUTED_VALUE"""),"")</f>
        <v/>
      </c>
      <c r="O401" s="66">
        <f>IFERROR(__xludf.DUMMYFUNCTION("""COMPUTED_VALUE"""),0.0)</f>
        <v>0</v>
      </c>
      <c r="P401" s="67">
        <f>IFERROR(__xludf.DUMMYFUNCTION("""COMPUTED_VALUE"""),44112.0)</f>
        <v>44112</v>
      </c>
      <c r="Q401" s="68">
        <f>IFERROR(__xludf.DUMMYFUNCTION("""COMPUTED_VALUE"""),1150.0)</f>
        <v>1150</v>
      </c>
      <c r="R401" s="69" t="str">
        <f>IFERROR(__xludf.DUMMYFUNCTION("""COMPUTED_VALUE"""),"Credit Suisse")</f>
        <v>Credit Suisse</v>
      </c>
      <c r="S401" s="64">
        <f>IFERROR(__xludf.DUMMYFUNCTION("""COMPUTED_VALUE"""),44842.0)</f>
        <v>44842</v>
      </c>
      <c r="T401" s="70">
        <f>IFERROR(__xludf.DUMMYFUNCTION("""COMPUTED_VALUE"""),0.25205479452054796)</f>
        <v>0.2520547945</v>
      </c>
      <c r="U401" s="71" t="str">
        <f>IFERROR(__xludf.DUMMYFUNCTION("""COMPUTED_VALUE"""),"https://www.sec.gov/cgi-bin/browse-edgar?CIK=1818873")</f>
        <v>https://www.sec.gov/cgi-bin/browse-edgar?CIK=1818873</v>
      </c>
      <c r="V401" s="72" t="str">
        <f>IFERROR(__xludf.DUMMYFUNCTION("""COMPUTED_VALUE"""),"Venture Capital   $500M+ Trust Optionable    Well-known Sponsor Serial Sponsor  ")</f>
        <v>Venture Capital   $500M+ Trust Optionable    Well-known Sponsor Serial Sponsor  </v>
      </c>
      <c r="W401" s="73"/>
      <c r="X401" s="74"/>
      <c r="Y401" s="75"/>
      <c r="Z401" s="60"/>
      <c r="AA401" s="60"/>
      <c r="AB401" s="60"/>
      <c r="AC401" s="60"/>
      <c r="AD401" s="73"/>
      <c r="AE401" s="73"/>
      <c r="AF401" s="76"/>
      <c r="AG401" s="60" t="str">
        <f>IFERROR(__xludf.DUMMYFUNCTION("""COMPUTED_VALUE"""),"")</f>
        <v/>
      </c>
    </row>
    <row r="402">
      <c r="A402" s="54" t="str">
        <f>IFERROR(__xludf.DUMMYFUNCTION("""COMPUTED_VALUE"""),"IPVA")</f>
        <v>IPVA</v>
      </c>
      <c r="B402" s="55" t="str">
        <f>IFERROR(__xludf.DUMMYFUNCTION("""COMPUTED_VALUE"""),"InterPrivate II Acquisition Corp.")</f>
        <v>InterPrivate II Acquisition Corp.</v>
      </c>
      <c r="C402" s="56" t="str">
        <f>IFERROR(__xludf.DUMMYFUNCTION("""COMPUTED_VALUE"""),"Searching (Pre Unit Split)")</f>
        <v>Searching (Pre Unit Split)</v>
      </c>
      <c r="D402" s="57" t="str">
        <f>IFERROR(__xludf.DUMMYFUNCTION("""COMPUTED_VALUE"""),"Auto-tech, Mobility,business services, consumer, retail, e-commerce, Industrial Tech")</f>
        <v>Auto-tech, Mobility,business services, consumer, retail, e-commerce, Industrial Tech</v>
      </c>
      <c r="E402" s="58"/>
      <c r="F402" s="59" t="str">
        <f>IFERROR(__xludf.DUMMYFUNCTION("""COMPUTED_VALUE"""),"Ahmed Fattouh (CEO, InterPrivate)")</f>
        <v>Ahmed Fattouh (CEO, InterPrivate)</v>
      </c>
      <c r="G402" s="60">
        <f>IFERROR(__xludf.DUMMYFUNCTION("""COMPUTED_VALUE"""),2.5875E8)</f>
        <v>258750000</v>
      </c>
      <c r="H402" s="60" t="str">
        <f>IFERROR(__xludf.DUMMYFUNCTION("""COMPUTED_VALUE""")," ")</f>
        <v> </v>
      </c>
      <c r="I402" s="61" t="str">
        <f>IFERROR(__xludf.DUMMYFUNCTION("""COMPUTED_VALUE""")," ")</f>
        <v> </v>
      </c>
      <c r="J402" s="62" t="str">
        <f>IFERROR(__xludf.DUMMYFUNCTION("""COMPUTED_VALUE""")," ")</f>
        <v> </v>
      </c>
      <c r="K402" s="59">
        <f>IFERROR(__xludf.DUMMYFUNCTION("""COMPUTED_VALUE"""),10.0)</f>
        <v>10</v>
      </c>
      <c r="L402" s="63" t="str">
        <f>IFERROR(__xludf.DUMMYFUNCTION("""COMPUTED_VALUE""")," ")</f>
        <v> </v>
      </c>
      <c r="M402" s="64" t="str">
        <f>IFERROR(__xludf.DUMMYFUNCTION("""COMPUTED_VALUE"""),"U: [1/5 W]; W: [1:1, $11.5]")</f>
        <v>U: [1/5 W]; W: [1:1, $11.5]</v>
      </c>
      <c r="N402" s="65">
        <f>IFERROR(__xludf.DUMMYFUNCTION("""COMPUTED_VALUE"""),44312.0)</f>
        <v>44312</v>
      </c>
      <c r="O402" s="66" t="str">
        <f>IFERROR(__xludf.DUMMYFUNCTION("""COMPUTED_VALUE"""),"")</f>
        <v/>
      </c>
      <c r="P402" s="67">
        <f>IFERROR(__xludf.DUMMYFUNCTION("""COMPUTED_VALUE"""),44260.0)</f>
        <v>44260</v>
      </c>
      <c r="Q402" s="68">
        <f>IFERROR(__xludf.DUMMYFUNCTION("""COMPUTED_VALUE"""),258.75)</f>
        <v>258.75</v>
      </c>
      <c r="R402" s="69" t="str">
        <f>IFERROR(__xludf.DUMMYFUNCTION("""COMPUTED_VALUE"""),"Morgan Stanley, EarlyBirdCapital, Inc.")</f>
        <v>Morgan Stanley, EarlyBirdCapital, Inc.</v>
      </c>
      <c r="S402" s="64">
        <f>IFERROR(__xludf.DUMMYFUNCTION("""COMPUTED_VALUE"""),44990.0)</f>
        <v>44990</v>
      </c>
      <c r="T402" s="70">
        <f>IFERROR(__xludf.DUMMYFUNCTION("""COMPUTED_VALUE"""),0.049315068493150684)</f>
        <v>0.04931506849</v>
      </c>
      <c r="U402" s="71" t="str">
        <f>IFERROR(__xludf.DUMMYFUNCTION("""COMPUTED_VALUE"""),"https://www.sec.gov/cgi-bin/browse-edgar?CIK=1839608")</f>
        <v>https://www.sec.gov/cgi-bin/browse-edgar?CIK=1839608</v>
      </c>
      <c r="V402" s="72" t="str">
        <f>IFERROR(__xludf.DUMMYFUNCTION("""COMPUTED_VALUE"""),"          Serial Sponsor Top Tier UW ")</f>
        <v>          Serial Sponsor Top Tier UW </v>
      </c>
      <c r="W402" s="73"/>
      <c r="X402" s="74"/>
      <c r="Y402" s="75"/>
      <c r="Z402" s="60"/>
      <c r="AA402" s="60"/>
      <c r="AB402" s="60"/>
      <c r="AC402" s="60"/>
      <c r="AD402" s="73"/>
      <c r="AE402" s="73"/>
      <c r="AF402" s="76"/>
      <c r="AG402" s="60"/>
    </row>
    <row r="403">
      <c r="A403" s="54" t="str">
        <f>IFERROR(__xludf.DUMMYFUNCTION("""COMPUTED_VALUE"""),"IPVF")</f>
        <v>IPVF</v>
      </c>
      <c r="B403" s="55" t="str">
        <f>IFERROR(__xludf.DUMMYFUNCTION("""COMPUTED_VALUE"""),"InterPrivate III Financial Partners Inc.")</f>
        <v>InterPrivate III Financial Partners Inc.</v>
      </c>
      <c r="C403" s="56" t="str">
        <f>IFERROR(__xludf.DUMMYFUNCTION("""COMPUTED_VALUE"""),"Searching (Pre Unit Split)")</f>
        <v>Searching (Pre Unit Split)</v>
      </c>
      <c r="D403" s="57" t="str">
        <f>IFERROR(__xludf.DUMMYFUNCTION("""COMPUTED_VALUE"""),"Asset/Wealth Management, Banking, Non-bank lending, Insurance")</f>
        <v>Asset/Wealth Management, Banking, Non-bank lending, Insurance</v>
      </c>
      <c r="E403" s="58"/>
      <c r="F403" s="59" t="str">
        <f>IFERROR(__xludf.DUMMYFUNCTION("""COMPUTED_VALUE"""),"Ahmed Fattouh (CEO, InterPrivate)")</f>
        <v>Ahmed Fattouh (CEO, InterPrivate)</v>
      </c>
      <c r="G403" s="60">
        <f>IFERROR(__xludf.DUMMYFUNCTION("""COMPUTED_VALUE"""),2.5875E8)</f>
        <v>258750000</v>
      </c>
      <c r="H403" s="60" t="str">
        <f>IFERROR(__xludf.DUMMYFUNCTION("""COMPUTED_VALUE""")," ")</f>
        <v> </v>
      </c>
      <c r="I403" s="61" t="str">
        <f>IFERROR(__xludf.DUMMYFUNCTION("""COMPUTED_VALUE""")," ")</f>
        <v> </v>
      </c>
      <c r="J403" s="62" t="str">
        <f>IFERROR(__xludf.DUMMYFUNCTION("""COMPUTED_VALUE""")," ")</f>
        <v> </v>
      </c>
      <c r="K403" s="59">
        <f>IFERROR(__xludf.DUMMYFUNCTION("""COMPUTED_VALUE"""),10.0)</f>
        <v>10</v>
      </c>
      <c r="L403" s="63" t="str">
        <f>IFERROR(__xludf.DUMMYFUNCTION("""COMPUTED_VALUE""")," ")</f>
        <v> </v>
      </c>
      <c r="M403" s="64" t="str">
        <f>IFERROR(__xludf.DUMMYFUNCTION("""COMPUTED_VALUE"""),"U: [1/5 W]; W: [1:1, $11.5]")</f>
        <v>U: [1/5 W]; W: [1:1, $11.5]</v>
      </c>
      <c r="N403" s="65">
        <f>IFERROR(__xludf.DUMMYFUNCTION("""COMPUTED_VALUE"""),44312.0)</f>
        <v>44312</v>
      </c>
      <c r="O403" s="66" t="str">
        <f>IFERROR(__xludf.DUMMYFUNCTION("""COMPUTED_VALUE"""),"")</f>
        <v/>
      </c>
      <c r="P403" s="67">
        <f>IFERROR(__xludf.DUMMYFUNCTION("""COMPUTED_VALUE"""),44260.0)</f>
        <v>44260</v>
      </c>
      <c r="Q403" s="68">
        <f>IFERROR(__xludf.DUMMYFUNCTION("""COMPUTED_VALUE"""),258.75)</f>
        <v>258.75</v>
      </c>
      <c r="R403" s="69" t="str">
        <f>IFERROR(__xludf.DUMMYFUNCTION("""COMPUTED_VALUE"""),"Morgan Stanley, EarlyBirdCapital, Inc.")</f>
        <v>Morgan Stanley, EarlyBirdCapital, Inc.</v>
      </c>
      <c r="S403" s="64">
        <f>IFERROR(__xludf.DUMMYFUNCTION("""COMPUTED_VALUE"""),44990.0)</f>
        <v>44990</v>
      </c>
      <c r="T403" s="70">
        <f>IFERROR(__xludf.DUMMYFUNCTION("""COMPUTED_VALUE"""),0.049315068493150684)</f>
        <v>0.04931506849</v>
      </c>
      <c r="U403" s="71" t="str">
        <f>IFERROR(__xludf.DUMMYFUNCTION("""COMPUTED_VALUE"""),"https://www.sec.gov/cgi-bin/browse-edgar?CIK=1839610")</f>
        <v>https://www.sec.gov/cgi-bin/browse-edgar?CIK=1839610</v>
      </c>
      <c r="V403" s="72" t="str">
        <f>IFERROR(__xludf.DUMMYFUNCTION("""COMPUTED_VALUE"""),"          Serial Sponsor Top Tier UW ")</f>
        <v>          Serial Sponsor Top Tier UW </v>
      </c>
      <c r="W403" s="73"/>
      <c r="X403" s="74"/>
      <c r="Y403" s="75"/>
      <c r="Z403" s="60"/>
      <c r="AA403" s="60"/>
      <c r="AB403" s="60"/>
      <c r="AC403" s="60"/>
      <c r="AD403" s="73"/>
      <c r="AE403" s="73"/>
      <c r="AF403" s="76"/>
      <c r="AG403" s="60"/>
    </row>
    <row r="404">
      <c r="A404" s="54" t="str">
        <f>IFERROR(__xludf.DUMMYFUNCTION("""COMPUTED_VALUE"""),"IPVI")</f>
        <v>IPVI</v>
      </c>
      <c r="B404" s="55" t="str">
        <f>IFERROR(__xludf.DUMMYFUNCTION("""COMPUTED_VALUE"""),"InterPrivate IV InfraTech Partners Inc.")</f>
        <v>InterPrivate IV InfraTech Partners Inc.</v>
      </c>
      <c r="C404" s="56" t="str">
        <f>IFERROR(__xludf.DUMMYFUNCTION("""COMPUTED_VALUE"""),"Searching (Pre Unit Split)")</f>
        <v>Searching (Pre Unit Split)</v>
      </c>
      <c r="D404" s="77" t="str">
        <f>IFERROR(__xludf.DUMMYFUNCTION("""COMPUTED_VALUE"""),"TMT infrastructure")</f>
        <v>TMT infrastructure</v>
      </c>
      <c r="E404" s="58"/>
      <c r="F404" s="59" t="str">
        <f>IFERROR(__xludf.DUMMYFUNCTION("""COMPUTED_VALUE"""),"Ahmed Fattouh (CEO, InterPrivate)")</f>
        <v>Ahmed Fattouh (CEO, InterPrivate)</v>
      </c>
      <c r="G404" s="60">
        <f>IFERROR(__xludf.DUMMYFUNCTION("""COMPUTED_VALUE"""),2.875E8)</f>
        <v>287500000</v>
      </c>
      <c r="H404" s="60" t="str">
        <f>IFERROR(__xludf.DUMMYFUNCTION("""COMPUTED_VALUE""")," ")</f>
        <v> </v>
      </c>
      <c r="I404" s="61" t="str">
        <f>IFERROR(__xludf.DUMMYFUNCTION("""COMPUTED_VALUE""")," ")</f>
        <v> </v>
      </c>
      <c r="J404" s="62" t="str">
        <f>IFERROR(__xludf.DUMMYFUNCTION("""COMPUTED_VALUE""")," ")</f>
        <v> </v>
      </c>
      <c r="K404" s="59">
        <f>IFERROR(__xludf.DUMMYFUNCTION("""COMPUTED_VALUE"""),10.0)</f>
        <v>10</v>
      </c>
      <c r="L404" s="63" t="str">
        <f>IFERROR(__xludf.DUMMYFUNCTION("""COMPUTED_VALUE""")," ")</f>
        <v> </v>
      </c>
      <c r="M404" s="64" t="str">
        <f>IFERROR(__xludf.DUMMYFUNCTION("""COMPUTED_VALUE"""),"U: [1/5 W]; W: [1:1, $11.5]")</f>
        <v>U: [1/5 W]; W: [1:1, $11.5]</v>
      </c>
      <c r="N404" s="65">
        <f>IFERROR(__xludf.DUMMYFUNCTION("""COMPUTED_VALUE"""),44312.0)</f>
        <v>44312</v>
      </c>
      <c r="O404" s="66" t="str">
        <f>IFERROR(__xludf.DUMMYFUNCTION("""COMPUTED_VALUE"""),"")</f>
        <v/>
      </c>
      <c r="P404" s="67">
        <f>IFERROR(__xludf.DUMMYFUNCTION("""COMPUTED_VALUE"""),44260.0)</f>
        <v>44260</v>
      </c>
      <c r="Q404" s="68">
        <f>IFERROR(__xludf.DUMMYFUNCTION("""COMPUTED_VALUE"""),287.5)</f>
        <v>287.5</v>
      </c>
      <c r="R404" s="69" t="str">
        <f>IFERROR(__xludf.DUMMYFUNCTION("""COMPUTED_VALUE"""),"Morgan Stanley, Wells Fargo Securities, EarlyBirdCapital, Inc.")</f>
        <v>Morgan Stanley, Wells Fargo Securities, EarlyBirdCapital, Inc.</v>
      </c>
      <c r="S404" s="64">
        <f>IFERROR(__xludf.DUMMYFUNCTION("""COMPUTED_VALUE"""),44990.0)</f>
        <v>44990</v>
      </c>
      <c r="T404" s="70">
        <f>IFERROR(__xludf.DUMMYFUNCTION("""COMPUTED_VALUE"""),0.049315068493150684)</f>
        <v>0.04931506849</v>
      </c>
      <c r="U404" s="71" t="str">
        <f>IFERROR(__xludf.DUMMYFUNCTION("""COMPUTED_VALUE"""),"https://www.sec.gov/cgi-bin/browse-edgar?CIK=1839611")</f>
        <v>https://www.sec.gov/cgi-bin/browse-edgar?CIK=1839611</v>
      </c>
      <c r="V404" s="72" t="str">
        <f>IFERROR(__xludf.DUMMYFUNCTION("""COMPUTED_VALUE"""),"          Serial Sponsor Top Tier UW ")</f>
        <v>          Serial Sponsor Top Tier UW </v>
      </c>
      <c r="W404" s="73"/>
      <c r="X404" s="74"/>
      <c r="Y404" s="75"/>
      <c r="Z404" s="60"/>
      <c r="AA404" s="60"/>
      <c r="AB404" s="60"/>
      <c r="AC404" s="60"/>
      <c r="AD404" s="73"/>
      <c r="AE404" s="73"/>
      <c r="AF404" s="76"/>
      <c r="AG404" s="60"/>
    </row>
    <row r="405">
      <c r="A405" s="54" t="str">
        <f>IFERROR(__xludf.DUMMYFUNCTION("""COMPUTED_VALUE"""),"ISAA")</f>
        <v>ISAA</v>
      </c>
      <c r="B405" s="55" t="str">
        <f>IFERROR(__xludf.DUMMYFUNCTION("""COMPUTED_VALUE"""),"Iron Spark I Inc.")</f>
        <v>Iron Spark I Inc.</v>
      </c>
      <c r="C405" s="56" t="str">
        <f>IFERROR(__xludf.DUMMYFUNCTION("""COMPUTED_VALUE"""),"Pre IPO")</f>
        <v>Pre IPO</v>
      </c>
      <c r="D405" s="77" t="str">
        <f>IFERROR(__xludf.DUMMYFUNCTION("""COMPUTED_VALUE"""),"Branded Consumer")</f>
        <v>Branded Consumer</v>
      </c>
      <c r="E405" s="58"/>
      <c r="F405" s="59" t="str">
        <f>IFERROR(__xludf.DUMMYFUNCTION("""COMPUTED_VALUE"""),"Amy Butte (Former CFO of the New York Stock Exchange), Alexander Oxman (Co-founder, Winc Wines), Jay Margolis (Former COO of Reebok International and Former Director of Boston Beer, Godiva Chocolatier, and Burlington Coat), Tony Hawk (Professional skatebo"&amp;"arder), Musa Tariq (CMO of GoFundMe)")</f>
        <v>Amy Butte (Former CFO of the New York Stock Exchange), Alexander Oxman (Co-founder, Winc Wines), Jay Margolis (Former COO of Reebok International and Former Director of Boston Beer, Godiva Chocolatier, and Burlington Coat), Tony Hawk (Professional skateboarder), Musa Tariq (CMO of GoFundMe)</v>
      </c>
      <c r="G405" s="60">
        <f>IFERROR(__xludf.DUMMYFUNCTION("""COMPUTED_VALUE"""),1.75E8)</f>
        <v>175000000</v>
      </c>
      <c r="H405" s="60" t="str">
        <f>IFERROR(__xludf.DUMMYFUNCTION("""COMPUTED_VALUE""")," ")</f>
        <v> </v>
      </c>
      <c r="I405" s="61" t="str">
        <f>IFERROR(__xludf.DUMMYFUNCTION("""COMPUTED_VALUE""")," ")</f>
        <v> </v>
      </c>
      <c r="J405" s="62" t="str">
        <f>IFERROR(__xludf.DUMMYFUNCTION("""COMPUTED_VALUE""")," ")</f>
        <v> </v>
      </c>
      <c r="K405" s="59" t="str">
        <f>IFERROR(__xludf.DUMMYFUNCTION("""COMPUTED_VALUE""")," ")</f>
        <v> </v>
      </c>
      <c r="L405" s="63" t="str">
        <f>IFERROR(__xludf.DUMMYFUNCTION("""COMPUTED_VALUE""")," ")</f>
        <v> </v>
      </c>
      <c r="M405" s="64" t="str">
        <f>IFERROR(__xludf.DUMMYFUNCTION("""COMPUTED_VALUE"""),"U: [1/2 W]; W: [1:1, $11.5]")</f>
        <v>U: [1/2 W]; W: [1:1, $11.5]</v>
      </c>
      <c r="N405" s="65" t="str">
        <f>IFERROR(__xludf.DUMMYFUNCTION("""COMPUTED_VALUE"""),"")</f>
        <v/>
      </c>
      <c r="O405" s="66">
        <f>IFERROR(__xludf.DUMMYFUNCTION("""COMPUTED_VALUE"""),0.0)</f>
        <v>0</v>
      </c>
      <c r="P405" s="67"/>
      <c r="Q405" s="68">
        <f>IFERROR(__xludf.DUMMYFUNCTION("""COMPUTED_VALUE"""),175.0)</f>
        <v>175</v>
      </c>
      <c r="R405" s="69" t="str">
        <f>IFERROR(__xludf.DUMMYFUNCTION("""COMPUTED_VALUE"""),"Oppenheimer &amp; Co.")</f>
        <v>Oppenheimer &amp; Co.</v>
      </c>
      <c r="S405" s="64">
        <f>IFERROR(__xludf.DUMMYFUNCTION("""COMPUTED_VALUE"""),45086.0)</f>
        <v>45086</v>
      </c>
      <c r="T405" s="70" t="str">
        <f>IFERROR(__xludf.DUMMYFUNCTION("""COMPUTED_VALUE"""),"")</f>
        <v/>
      </c>
      <c r="U405" s="71" t="str">
        <f>IFERROR(__xludf.DUMMYFUNCTION("""COMPUTED_VALUE"""),"https://www.sec.gov/cgi-bin/browse-edgar?CIK=1845601")</f>
        <v>https://www.sec.gov/cgi-bin/browse-edgar?CIK=1845601</v>
      </c>
      <c r="V405" s="72" t="str">
        <f>IFERROR(__xludf.DUMMYFUNCTION("""COMPUTED_VALUE"""),"         Well-known Sponsor   ")</f>
        <v>         Well-known Sponsor   </v>
      </c>
      <c r="W405" s="73"/>
      <c r="X405" s="74"/>
      <c r="Y405" s="75"/>
      <c r="Z405" s="60"/>
      <c r="AA405" s="60"/>
      <c r="AB405" s="60"/>
      <c r="AC405" s="60"/>
      <c r="AD405" s="73"/>
      <c r="AE405" s="73"/>
      <c r="AF405" s="76"/>
      <c r="AG405" s="60"/>
    </row>
    <row r="406">
      <c r="A406" s="54" t="str">
        <f>IFERROR(__xludf.DUMMYFUNCTION("""COMPUTED_VALUE"""),"ISAP")</f>
        <v>ISAP</v>
      </c>
      <c r="B406" s="55" t="str">
        <f>IFERROR(__xludf.DUMMYFUNCTION("""COMPUTED_VALUE"""),"Israel Amplify Program Corp.")</f>
        <v>Israel Amplify Program Corp.</v>
      </c>
      <c r="C406" s="56" t="str">
        <f>IFERROR(__xludf.DUMMYFUNCTION("""COMPUTED_VALUE"""),"Pre IPO")</f>
        <v>Pre IPO</v>
      </c>
      <c r="D406" s="57" t="str">
        <f>IFERROR(__xludf.DUMMYFUNCTION("""COMPUTED_VALUE"""),"Tech in Israel")</f>
        <v>Tech in Israel</v>
      </c>
      <c r="E406" s="58"/>
      <c r="F406" s="59"/>
      <c r="G406" s="60">
        <f>IFERROR(__xludf.DUMMYFUNCTION("""COMPUTED_VALUE"""),2.0E8)</f>
        <v>200000000</v>
      </c>
      <c r="H406" s="60" t="str">
        <f>IFERROR(__xludf.DUMMYFUNCTION("""COMPUTED_VALUE""")," ")</f>
        <v> </v>
      </c>
      <c r="I406" s="61" t="str">
        <f>IFERROR(__xludf.DUMMYFUNCTION("""COMPUTED_VALUE""")," ")</f>
        <v> </v>
      </c>
      <c r="J406" s="62" t="str">
        <f>IFERROR(__xludf.DUMMYFUNCTION("""COMPUTED_VALUE""")," ")</f>
        <v> </v>
      </c>
      <c r="K406" s="59" t="str">
        <f>IFERROR(__xludf.DUMMYFUNCTION("""COMPUTED_VALUE""")," ")</f>
        <v> </v>
      </c>
      <c r="L406" s="63" t="str">
        <f>IFERROR(__xludf.DUMMYFUNCTION("""COMPUTED_VALUE""")," ")</f>
        <v> </v>
      </c>
      <c r="M406" s="64" t="str">
        <f>IFERROR(__xludf.DUMMYFUNCTION("""COMPUTED_VALUE"""),"U: [1/5 W]; W: [1:1, $11.5]")</f>
        <v>U: [1/5 W]; W: [1:1, $11.5]</v>
      </c>
      <c r="N406" s="65" t="str">
        <f>IFERROR(__xludf.DUMMYFUNCTION("""COMPUTED_VALUE"""),"")</f>
        <v/>
      </c>
      <c r="O406" s="66">
        <f>IFERROR(__xludf.DUMMYFUNCTION("""COMPUTED_VALUE"""),0.0)</f>
        <v>0</v>
      </c>
      <c r="P406" s="67"/>
      <c r="Q406" s="68">
        <f>IFERROR(__xludf.DUMMYFUNCTION("""COMPUTED_VALUE"""),200.0)</f>
        <v>200</v>
      </c>
      <c r="R406" s="69" t="str">
        <f>IFERROR(__xludf.DUMMYFUNCTION("""COMPUTED_VALUE"""),"Cowen")</f>
        <v>Cowen</v>
      </c>
      <c r="S406" s="64">
        <f>IFERROR(__xludf.DUMMYFUNCTION("""COMPUTED_VALUE"""),45086.0)</f>
        <v>45086</v>
      </c>
      <c r="T406" s="70" t="str">
        <f>IFERROR(__xludf.DUMMYFUNCTION("""COMPUTED_VALUE"""),"")</f>
        <v/>
      </c>
      <c r="U406" s="71" t="str">
        <f>IFERROR(__xludf.DUMMYFUNCTION("""COMPUTED_VALUE"""),"https://www.sec.gov/cgi-bin/browse-edgar?CIK=1851833")</f>
        <v>https://www.sec.gov/cgi-bin/browse-edgar?CIK=1851833</v>
      </c>
      <c r="V406" s="72" t="str">
        <f>IFERROR(__xludf.DUMMYFUNCTION("""COMPUTED_VALUE"""),"            ")</f>
        <v>            </v>
      </c>
      <c r="W406" s="73"/>
      <c r="X406" s="74"/>
      <c r="Y406" s="75"/>
      <c r="Z406" s="60"/>
      <c r="AA406" s="60"/>
      <c r="AB406" s="60"/>
      <c r="AC406" s="60"/>
      <c r="AD406" s="73"/>
      <c r="AE406" s="73"/>
      <c r="AF406" s="76"/>
      <c r="AG406" s="60"/>
    </row>
    <row r="407">
      <c r="A407" s="54" t="str">
        <f>IFERROR(__xludf.DUMMYFUNCTION("""COMPUTED_VALUE"""),"ISLE")</f>
        <v>ISLE</v>
      </c>
      <c r="B407" s="55" t="str">
        <f>IFERROR(__xludf.DUMMYFUNCTION("""COMPUTED_VALUE"""),"Isleworth Healthcare Acquisition Corp.")</f>
        <v>Isleworth Healthcare Acquisition Corp.</v>
      </c>
      <c r="C407" s="56" t="str">
        <f>IFERROR(__xludf.DUMMYFUNCTION("""COMPUTED_VALUE"""),"Searching")</f>
        <v>Searching</v>
      </c>
      <c r="D407" s="77" t="str">
        <f>IFERROR(__xludf.DUMMYFUNCTION("""COMPUTED_VALUE"""),"Biopharma, MedTech, Healthcare innovation (North America, Europe, Asia)")</f>
        <v>Biopharma, MedTech, Healthcare innovation (North America, Europe, Asia)</v>
      </c>
      <c r="E407" s="58"/>
      <c r="F407" s="59" t="str">
        <f>IFERROR(__xludf.DUMMYFUNCTION("""COMPUTED_VALUE"""),"Allen Weiss (Fmr Pres, Walt Disney World)")</f>
        <v>Allen Weiss (Fmr Pres, Walt Disney World)</v>
      </c>
      <c r="G407" s="60">
        <f>IFERROR(__xludf.DUMMYFUNCTION("""COMPUTED_VALUE"""),2.07E8)</f>
        <v>207000000</v>
      </c>
      <c r="H407" s="60">
        <f>IFERROR(__xludf.DUMMYFUNCTION("""COMPUTED_VALUE"""),2.5667425E8)</f>
        <v>256674250</v>
      </c>
      <c r="I407" s="61">
        <f>IFERROR(__xludf.DUMMYFUNCTION("""COMPUTED_VALUE"""),9.8)</f>
        <v>9.8</v>
      </c>
      <c r="J407" s="62">
        <f>IFERROR(__xludf.DUMMYFUNCTION("""COMPUTED_VALUE"""),0.00307)</f>
        <v>0.00307</v>
      </c>
      <c r="K407" s="59" t="str">
        <f>IFERROR(__xludf.DUMMYFUNCTION("""COMPUTED_VALUE""")," ")</f>
        <v> </v>
      </c>
      <c r="L407" s="63">
        <f>IFERROR(__xludf.DUMMYFUNCTION("""COMPUTED_VALUE"""),0.58)</f>
        <v>0.58</v>
      </c>
      <c r="M407" s="64" t="str">
        <f>IFERROR(__xludf.DUMMYFUNCTION("""COMPUTED_VALUE"""),"U: [1/2 W]; W: [1:1, $11.5]")</f>
        <v>U: [1/2 W]; W: [1:1, $11.5]</v>
      </c>
      <c r="N407" s="65">
        <f>IFERROR(__xludf.DUMMYFUNCTION("""COMPUTED_VALUE"""),44284.0)</f>
        <v>44284</v>
      </c>
      <c r="O407" s="66">
        <f>IFERROR(__xludf.DUMMYFUNCTION("""COMPUTED_VALUE"""),0.0)</f>
        <v>0</v>
      </c>
      <c r="P407" s="67">
        <f>IFERROR(__xludf.DUMMYFUNCTION("""COMPUTED_VALUE"""),44251.0)</f>
        <v>44251</v>
      </c>
      <c r="Q407" s="68">
        <f>IFERROR(__xludf.DUMMYFUNCTION("""COMPUTED_VALUE"""),207.0)</f>
        <v>207</v>
      </c>
      <c r="R407" s="69" t="str">
        <f>IFERROR(__xludf.DUMMYFUNCTION("""COMPUTED_VALUE"""),"I-Bankers Securities, Inc.")</f>
        <v>I-Bankers Securities, Inc.</v>
      </c>
      <c r="S407" s="64">
        <f>IFERROR(__xludf.DUMMYFUNCTION("""COMPUTED_VALUE"""),44798.5)</f>
        <v>44798.5</v>
      </c>
      <c r="T407" s="70">
        <f>IFERROR(__xludf.DUMMYFUNCTION("""COMPUTED_VALUE"""),0.0821917808219178)</f>
        <v>0.08219178082</v>
      </c>
      <c r="U407" s="71" t="str">
        <f>IFERROR(__xludf.DUMMYFUNCTION("""COMPUTED_VALUE"""),"https://www.sec.gov/cgi-bin/browse-edgar?CIK=1837997")</f>
        <v>https://www.sec.gov/cgi-bin/browse-edgar?CIK=1837997</v>
      </c>
      <c r="V407" s="72" t="str">
        <f>IFERROR(__xludf.DUMMYFUNCTION("""COMPUTED_VALUE""")," Trading Below $10 (Common)           ")</f>
        <v> Trading Below $10 (Common)           </v>
      </c>
      <c r="W407" s="73"/>
      <c r="X407" s="74"/>
      <c r="Y407" s="75"/>
      <c r="Z407" s="60"/>
      <c r="AA407" s="60"/>
      <c r="AB407" s="60"/>
      <c r="AC407" s="60"/>
      <c r="AD407" s="73"/>
      <c r="AE407" s="73"/>
      <c r="AF407" s="76"/>
      <c r="AG407" s="60" t="str">
        <f>IFERROR(__xludf.DUMMYFUNCTION("""COMPUTED_VALUE"""),"")</f>
        <v/>
      </c>
    </row>
    <row r="408">
      <c r="A408" s="54" t="str">
        <f>IFERROR(__xludf.DUMMYFUNCTION("""COMPUTED_VALUE"""),"ISOS")</f>
        <v>ISOS</v>
      </c>
      <c r="B408" s="55" t="str">
        <f>IFERROR(__xludf.DUMMYFUNCTION("""COMPUTED_VALUE"""),"Isos Acquisition Corp")</f>
        <v>Isos Acquisition Corp</v>
      </c>
      <c r="C408" s="56" t="str">
        <f>IFERROR(__xludf.DUMMYFUNCTION("""COMPUTED_VALUE"""),"Searching (Pre Unit Split)")</f>
        <v>Searching (Pre Unit Split)</v>
      </c>
      <c r="D408" s="57" t="str">
        <f>IFERROR(__xludf.DUMMYFUNCTION("""COMPUTED_VALUE"""),"Digital Media, Entertainment")</f>
        <v>Digital Media, Entertainment</v>
      </c>
      <c r="E408" s="58"/>
      <c r="F408" s="59" t="str">
        <f>IFERROR(__xludf.DUMMYFUNCTION("""COMPUTED_VALUE"""),"George Barrios (Co-Pres/Director, World Wrestling Entertainment d/b/a WWE) , Michelle Wilson (Co-Pres/Director, WWE), Jacqueline Hernández (Fmr COO, Telemundo)")</f>
        <v>George Barrios (Co-Pres/Director, World Wrestling Entertainment d/b/a WWE) , Michelle Wilson (Co-Pres/Director, WWE), Jacqueline Hernández (Fmr COO, Telemundo)</v>
      </c>
      <c r="G408" s="60">
        <f>IFERROR(__xludf.DUMMYFUNCTION("""COMPUTED_VALUE"""),2.54837E8)</f>
        <v>254837000</v>
      </c>
      <c r="H408" s="60" t="str">
        <f>IFERROR(__xludf.DUMMYFUNCTION("""COMPUTED_VALUE""")," ")</f>
        <v> </v>
      </c>
      <c r="I408" s="61" t="str">
        <f>IFERROR(__xludf.DUMMYFUNCTION("""COMPUTED_VALUE""")," ")</f>
        <v> </v>
      </c>
      <c r="J408" s="62" t="str">
        <f>IFERROR(__xludf.DUMMYFUNCTION("""COMPUTED_VALUE""")," ")</f>
        <v> </v>
      </c>
      <c r="K408" s="59">
        <f>IFERROR(__xludf.DUMMYFUNCTION("""COMPUTED_VALUE"""),10.0)</f>
        <v>10</v>
      </c>
      <c r="L408" s="63" t="str">
        <f>IFERROR(__xludf.DUMMYFUNCTION("""COMPUTED_VALUE""")," ")</f>
        <v> </v>
      </c>
      <c r="M408" s="64" t="str">
        <f>IFERROR(__xludf.DUMMYFUNCTION("""COMPUTED_VALUE"""),"U: [1/3 W]; W: [1:1, $11.5]")</f>
        <v>U: [1/3 W]; W: [1:1, $11.5]</v>
      </c>
      <c r="N408" s="65">
        <f>IFERROR(__xludf.DUMMYFUNCTION("""COMPUTED_VALUE"""),44309.0)</f>
        <v>44309</v>
      </c>
      <c r="O408" s="66" t="str">
        <f>IFERROR(__xludf.DUMMYFUNCTION("""COMPUTED_VALUE"""),"")</f>
        <v/>
      </c>
      <c r="P408" s="67">
        <f>IFERROR(__xludf.DUMMYFUNCTION("""COMPUTED_VALUE"""),44257.0)</f>
        <v>44257</v>
      </c>
      <c r="Q408" s="68">
        <f>IFERROR(__xludf.DUMMYFUNCTION("""COMPUTED_VALUE"""),254.837)</f>
        <v>254.837</v>
      </c>
      <c r="R408" s="69" t="str">
        <f>IFERROR(__xludf.DUMMYFUNCTION("""COMPUTED_VALUE"""),"JP Morgan, LionTree")</f>
        <v>JP Morgan, LionTree</v>
      </c>
      <c r="S408" s="64">
        <f>IFERROR(__xludf.DUMMYFUNCTION("""COMPUTED_VALUE"""),44987.0)</f>
        <v>44987</v>
      </c>
      <c r="T408" s="70">
        <f>IFERROR(__xludf.DUMMYFUNCTION("""COMPUTED_VALUE"""),0.05342465753424658)</f>
        <v>0.05342465753</v>
      </c>
      <c r="U408" s="71" t="str">
        <f>IFERROR(__xludf.DUMMYFUNCTION("""COMPUTED_VALUE"""),"https://www.sec.gov/cgi-bin/browse-edgar?CIK=1840572")</f>
        <v>https://www.sec.gov/cgi-bin/browse-edgar?CIK=1840572</v>
      </c>
      <c r="V408" s="72" t="str">
        <f>IFERROR(__xludf.DUMMYFUNCTION("""COMPUTED_VALUE"""),"           Top Tier UW ")</f>
        <v>           Top Tier UW </v>
      </c>
      <c r="W408" s="73"/>
      <c r="X408" s="74"/>
      <c r="Y408" s="75"/>
      <c r="Z408" s="60"/>
      <c r="AA408" s="60"/>
      <c r="AB408" s="60"/>
      <c r="AC408" s="60"/>
      <c r="AD408" s="73"/>
      <c r="AE408" s="73"/>
      <c r="AF408" s="76"/>
      <c r="AG408" s="60" t="str">
        <f>IFERROR(__xludf.DUMMYFUNCTION("""COMPUTED_VALUE"""),"")</f>
        <v/>
      </c>
    </row>
    <row r="409">
      <c r="A409" s="54" t="str">
        <f>IFERROR(__xludf.DUMMYFUNCTION("""COMPUTED_VALUE"""),"ITAC")</f>
        <v>ITAC</v>
      </c>
      <c r="B409" s="55" t="str">
        <f>IFERROR(__xludf.DUMMYFUNCTION("""COMPUTED_VALUE"""),"Industrial Tech Acquisitions, Inc.")</f>
        <v>Industrial Tech Acquisitions, Inc.</v>
      </c>
      <c r="C409" s="56" t="str">
        <f>IFERROR(__xludf.DUMMYFUNCTION("""COMPUTED_VALUE"""),"Definitive Agreement")</f>
        <v>Definitive Agreement</v>
      </c>
      <c r="D409" s="77" t="str">
        <f>IFERROR(__xludf.DUMMYFUNCTION("""COMPUTED_VALUE"""),"Industrial Tech, Energy Tech, Software, IoT, Cloud, LTE, 5G")</f>
        <v>Industrial Tech, Energy Tech, Software, IoT, Cloud, LTE, 5G</v>
      </c>
      <c r="E409" s="58" t="str">
        <f>IFERROR(__xludf.DUMMYFUNCTION("""COMPUTED_VALUE"""),"Arbe Robotics [DA: 03/18/21]")</f>
        <v>Arbe Robotics [DA: 03/18/21]</v>
      </c>
      <c r="F409" s="59"/>
      <c r="G409" s="60">
        <f>IFERROR(__xludf.DUMMYFUNCTION("""COMPUTED_VALUE"""),7.7000788E7)</f>
        <v>77000788</v>
      </c>
      <c r="H409" s="60">
        <f>IFERROR(__xludf.DUMMYFUNCTION("""COMPUTED_VALUE"""),7.699836E7)</f>
        <v>76998360</v>
      </c>
      <c r="I409" s="61">
        <f>IFERROR(__xludf.DUMMYFUNCTION("""COMPUTED_VALUE"""),10.1)</f>
        <v>10.1</v>
      </c>
      <c r="J409" s="62"/>
      <c r="K409" s="59">
        <f>IFERROR(__xludf.DUMMYFUNCTION("""COMPUTED_VALUE"""),11.3)</f>
        <v>11.3</v>
      </c>
      <c r="L409" s="63">
        <f>IFERROR(__xludf.DUMMYFUNCTION("""COMPUTED_VALUE"""),1.21)</f>
        <v>1.21</v>
      </c>
      <c r="M409" s="64" t="str">
        <f>IFERROR(__xludf.DUMMYFUNCTION("""COMPUTED_VALUE"""),"U: [1 W]; W: [1:1, $11.5]")</f>
        <v>U: [1 W]; W: [1:1, $11.5]</v>
      </c>
      <c r="N409" s="65" t="str">
        <f>IFERROR(__xludf.DUMMYFUNCTION("""COMPUTED_VALUE"""),"")</f>
        <v/>
      </c>
      <c r="O409" s="66">
        <f>IFERROR(__xludf.DUMMYFUNCTION("""COMPUTED_VALUE"""),0.0)</f>
        <v>0</v>
      </c>
      <c r="P409" s="67">
        <f>IFERROR(__xludf.DUMMYFUNCTION("""COMPUTED_VALUE"""),44082.0)</f>
        <v>44082</v>
      </c>
      <c r="Q409" s="68">
        <f>IFERROR(__xludf.DUMMYFUNCTION("""COMPUTED_VALUE"""),76.99836)</f>
        <v>76.99836</v>
      </c>
      <c r="R409" s="69" t="str">
        <f>IFERROR(__xludf.DUMMYFUNCTION("""COMPUTED_VALUE"""),"Maxim")</f>
        <v>Maxim</v>
      </c>
      <c r="S409" s="64">
        <f>IFERROR(__xludf.DUMMYFUNCTION("""COMPUTED_VALUE"""),44720.75)</f>
        <v>44720.75</v>
      </c>
      <c r="T409" s="70">
        <f>IFERROR(__xludf.DUMMYFUNCTION("""COMPUTED_VALUE"""),0.3350293542074364)</f>
        <v>0.3350293542</v>
      </c>
      <c r="U409" s="71" t="str">
        <f>IFERROR(__xludf.DUMMYFUNCTION("""COMPUTED_VALUE"""),"https://www.sec.gov/cgi-bin/browse-edgar?CIK=1816696")</f>
        <v>https://www.sec.gov/cgi-bin/browse-edgar?CIK=1816696</v>
      </c>
      <c r="V409" s="72" t="str">
        <f>IFERROR(__xludf.DUMMYFUNCTION("""COMPUTED_VALUE"""),"            ")</f>
        <v>            </v>
      </c>
      <c r="W409" s="73">
        <f>IFERROR(__xludf.DUMMYFUNCTION("""COMPUTED_VALUE"""),44273.0)</f>
        <v>44273</v>
      </c>
      <c r="X409" s="79">
        <f>IFERROR(__xludf.DUMMYFUNCTION("""COMPUTED_VALUE"""),6.366666666666666)</f>
        <v>6.366666667</v>
      </c>
      <c r="Y409" s="80" t="str">
        <f>IFERROR(__xludf.DUMMYFUNCTION("""COMPUTED_VALUE"""),"https://www.prnewswire.com/news-releases/arbe-robotics-ltd-a-global-leader-in-high-resolution-4d-imaging-radar-technology-expected-to-list-on-the-nasdaq-through-a-business-combination-with-industrial-tech-acquisitions-inc-301250582.html")</f>
        <v>https://www.prnewswire.com/news-releases/arbe-robotics-ltd-a-global-leader-in-high-resolution-4d-imaging-radar-technology-expected-to-list-on-the-nasdaq-through-a-business-combination-with-industrial-tech-acquisitions-inc-301250582.html</v>
      </c>
      <c r="Z409" s="81" t="str">
        <f>IFERROR(__xludf.DUMMYFUNCTION("""COMPUTED_VALUE"""),"https://www.sec.gov/Archives/edgar/data/1816696/000121390021016440/ea137987ex99-1_industrial.htm")</f>
        <v>https://www.sec.gov/Archives/edgar/data/1816696/000121390021016440/ea137987ex99-1_industrial.htm</v>
      </c>
      <c r="AA409" s="60">
        <f>IFERROR(__xludf.DUMMYFUNCTION("""COMPUTED_VALUE"""),1.0E8)</f>
        <v>100000000</v>
      </c>
      <c r="AB409" s="60">
        <f>IFERROR(__xludf.DUMMYFUNCTION("""COMPUTED_VALUE"""),7.23E8)</f>
        <v>723000000</v>
      </c>
      <c r="AC409" s="60">
        <f>IFERROR(__xludf.DUMMYFUNCTION("""COMPUTED_VALUE"""),5.73E8)</f>
        <v>573000000</v>
      </c>
      <c r="AD409" s="73"/>
      <c r="AE409" s="73"/>
      <c r="AF409" s="76"/>
      <c r="AG409" s="60" t="str">
        <f>IFERROR(__xludf.DUMMYFUNCTION("""COMPUTED_VALUE"""),"")</f>
        <v/>
      </c>
    </row>
    <row r="410">
      <c r="A410" s="54" t="str">
        <f>IFERROR(__xludf.DUMMYFUNCTION("""COMPUTED_VALUE"""),"ITAQ")</f>
        <v>ITAQ</v>
      </c>
      <c r="B410" s="55" t="str">
        <f>IFERROR(__xludf.DUMMYFUNCTION("""COMPUTED_VALUE"""),"Industrial Tech Acquisitions II, Inc.")</f>
        <v>Industrial Tech Acquisitions II, Inc.</v>
      </c>
      <c r="C410" s="56" t="str">
        <f>IFERROR(__xludf.DUMMYFUNCTION("""COMPUTED_VALUE"""),"Pre IPO")</f>
        <v>Pre IPO</v>
      </c>
      <c r="D410" s="77" t="str">
        <f>IFERROR(__xludf.DUMMYFUNCTION("""COMPUTED_VALUE"""),"Industrial Tech, Energy Tech, Software, IoT, Cloud, LTE, 5G")</f>
        <v>Industrial Tech, Energy Tech, Software, IoT, Cloud, LTE, 5G</v>
      </c>
      <c r="E410" s="58"/>
      <c r="F410" s="59"/>
      <c r="G410" s="60">
        <f>IFERROR(__xludf.DUMMYFUNCTION("""COMPUTED_VALUE"""),1.5E8)</f>
        <v>150000000</v>
      </c>
      <c r="H410" s="60" t="str">
        <f>IFERROR(__xludf.DUMMYFUNCTION("""COMPUTED_VALUE""")," ")</f>
        <v> </v>
      </c>
      <c r="I410" s="61" t="str">
        <f>IFERROR(__xludf.DUMMYFUNCTION("""COMPUTED_VALUE""")," ")</f>
        <v> </v>
      </c>
      <c r="J410" s="62" t="str">
        <f>IFERROR(__xludf.DUMMYFUNCTION("""COMPUTED_VALUE""")," ")</f>
        <v> </v>
      </c>
      <c r="K410" s="59" t="str">
        <f>IFERROR(__xludf.DUMMYFUNCTION("""COMPUTED_VALUE""")," ")</f>
        <v> </v>
      </c>
      <c r="L410" s="63" t="str">
        <f>IFERROR(__xludf.DUMMYFUNCTION("""COMPUTED_VALUE""")," ")</f>
        <v> </v>
      </c>
      <c r="M410" s="64" t="str">
        <f>IFERROR(__xludf.DUMMYFUNCTION("""COMPUTED_VALUE"""),"U: [1/2 W]; W: [1:1, $11.5]")</f>
        <v>U: [1/2 W]; W: [1:1, $11.5]</v>
      </c>
      <c r="N410" s="65" t="str">
        <f>IFERROR(__xludf.DUMMYFUNCTION("""COMPUTED_VALUE"""),"")</f>
        <v/>
      </c>
      <c r="O410" s="66">
        <f>IFERROR(__xludf.DUMMYFUNCTION("""COMPUTED_VALUE"""),0.0)</f>
        <v>0</v>
      </c>
      <c r="P410" s="67"/>
      <c r="Q410" s="68">
        <f>IFERROR(__xludf.DUMMYFUNCTION("""COMPUTED_VALUE"""),150.0)</f>
        <v>150</v>
      </c>
      <c r="R410" s="69" t="str">
        <f>IFERROR(__xludf.DUMMYFUNCTION("""COMPUTED_VALUE"""),"Wells Fargo Securities, Maxim Group LLC
")</f>
        <v>Wells Fargo Securities, Maxim Group LLC
</v>
      </c>
      <c r="S410" s="64">
        <f>IFERROR(__xludf.DUMMYFUNCTION("""COMPUTED_VALUE"""),45086.0)</f>
        <v>45086</v>
      </c>
      <c r="T410" s="70" t="str">
        <f>IFERROR(__xludf.DUMMYFUNCTION("""COMPUTED_VALUE"""),"")</f>
        <v/>
      </c>
      <c r="U410" s="71" t="str">
        <f>IFERROR(__xludf.DUMMYFUNCTION("""COMPUTED_VALUE"""),"https://www.sec.gov/cgi-bin/browse-edgar?CIK=1841586")</f>
        <v>https://www.sec.gov/cgi-bin/browse-edgar?CIK=1841586</v>
      </c>
      <c r="V410" s="72" t="str">
        <f>IFERROR(__xludf.DUMMYFUNCTION("""COMPUTED_VALUE"""),"            ")</f>
        <v>            </v>
      </c>
      <c r="W410" s="73"/>
      <c r="X410" s="74"/>
      <c r="Y410" s="75"/>
      <c r="Z410" s="60"/>
      <c r="AA410" s="60"/>
      <c r="AB410" s="60"/>
      <c r="AC410" s="60"/>
      <c r="AD410" s="73"/>
      <c r="AE410" s="73"/>
      <c r="AF410" s="76"/>
      <c r="AG410" s="60"/>
    </row>
    <row r="411">
      <c r="A411" s="54" t="str">
        <f>IFERROR(__xludf.DUMMYFUNCTION("""COMPUTED_VALUE"""),"ITHX")</f>
        <v>ITHX</v>
      </c>
      <c r="B411" s="55" t="str">
        <f>IFERROR(__xludf.DUMMYFUNCTION("""COMPUTED_VALUE"""),"ITHAX Acquisition Corp.")</f>
        <v>ITHAX Acquisition Corp.</v>
      </c>
      <c r="C411" s="56" t="str">
        <f>IFERROR(__xludf.DUMMYFUNCTION("""COMPUTED_VALUE"""),"Searching")</f>
        <v>Searching</v>
      </c>
      <c r="D411" s="77" t="str">
        <f>IFERROR(__xludf.DUMMYFUNCTION("""COMPUTED_VALUE"""),"Leisure, Hospitality, Travel")</f>
        <v>Leisure, Hospitality, Travel</v>
      </c>
      <c r="E411" s="58"/>
      <c r="F411" s="59"/>
      <c r="G411" s="60">
        <f>IFERROR(__xludf.DUMMYFUNCTION("""COMPUTED_VALUE"""),2.415E8)</f>
        <v>241500000</v>
      </c>
      <c r="H411" s="60">
        <f>IFERROR(__xludf.DUMMYFUNCTION("""COMPUTED_VALUE"""),2.3667E8)</f>
        <v>236670000</v>
      </c>
      <c r="I411" s="61">
        <f>IFERROR(__xludf.DUMMYFUNCTION("""COMPUTED_VALUE"""),9.8)</f>
        <v>9.8</v>
      </c>
      <c r="J411" s="62"/>
      <c r="K411" s="59">
        <f>IFERROR(__xludf.DUMMYFUNCTION("""COMPUTED_VALUE"""),10.01)</f>
        <v>10.01</v>
      </c>
      <c r="L411" s="63">
        <f>IFERROR(__xludf.DUMMYFUNCTION("""COMPUTED_VALUE"""),0.61)</f>
        <v>0.61</v>
      </c>
      <c r="M411" s="64" t="str">
        <f>IFERROR(__xludf.DUMMYFUNCTION("""COMPUTED_VALUE"""),"U: [1/2 W]; W: [1:1, $11.5]")</f>
        <v>U: [1/2 W]; W: [1:1, $11.5]</v>
      </c>
      <c r="N411" s="65">
        <f>IFERROR(__xludf.DUMMYFUNCTION("""COMPUTED_VALUE"""),44274.0)</f>
        <v>44274</v>
      </c>
      <c r="O411" s="66">
        <f>IFERROR(__xludf.DUMMYFUNCTION("""COMPUTED_VALUE"""),0.0)</f>
        <v>0</v>
      </c>
      <c r="P411" s="67">
        <f>IFERROR(__xludf.DUMMYFUNCTION("""COMPUTED_VALUE"""),44223.0)</f>
        <v>44223</v>
      </c>
      <c r="Q411" s="68">
        <f>IFERROR(__xludf.DUMMYFUNCTION("""COMPUTED_VALUE"""),241.5)</f>
        <v>241.5</v>
      </c>
      <c r="R411" s="69" t="str">
        <f>IFERROR(__xludf.DUMMYFUNCTION("""COMPUTED_VALUE"""),"Cantor")</f>
        <v>Cantor</v>
      </c>
      <c r="S411" s="64">
        <f>IFERROR(__xludf.DUMMYFUNCTION("""COMPUTED_VALUE"""),44953.0)</f>
        <v>44953</v>
      </c>
      <c r="T411" s="70">
        <f>IFERROR(__xludf.DUMMYFUNCTION("""COMPUTED_VALUE"""),0.1)</f>
        <v>0.1</v>
      </c>
      <c r="U411" s="71" t="str">
        <f>IFERROR(__xludf.DUMMYFUNCTION("""COMPUTED_VALUE"""),"https://www.sec.gov/cgi-bin/browse-edgar?CIK=1828852")</f>
        <v>https://www.sec.gov/cgi-bin/browse-edgar?CIK=1828852</v>
      </c>
      <c r="V411" s="72" t="str">
        <f>IFERROR(__xludf.DUMMYFUNCTION("""COMPUTED_VALUE""")," Trading Below $10 (Common)           ")</f>
        <v> Trading Below $10 (Common)           </v>
      </c>
      <c r="W411" s="73"/>
      <c r="X411" s="74"/>
      <c r="Y411" s="75"/>
      <c r="Z411" s="60"/>
      <c r="AA411" s="60"/>
      <c r="AB411" s="60"/>
      <c r="AC411" s="60"/>
      <c r="AD411" s="73"/>
      <c r="AE411" s="73"/>
      <c r="AF411" s="76"/>
      <c r="AG411" s="60" t="str">
        <f>IFERROR(__xludf.DUMMYFUNCTION("""COMPUTED_VALUE"""),"")</f>
        <v/>
      </c>
    </row>
    <row r="412">
      <c r="A412" s="54" t="str">
        <f>IFERROR(__xludf.DUMMYFUNCTION("""COMPUTED_VALUE"""),"ITQ")</f>
        <v>ITQ</v>
      </c>
      <c r="B412" s="55" t="str">
        <f>IFERROR(__xludf.DUMMYFUNCTION("""COMPUTED_VALUE"""),"Itiquira Acquisition Corp.")</f>
        <v>Itiquira Acquisition Corp.</v>
      </c>
      <c r="C412" s="56" t="str">
        <f>IFERROR(__xludf.DUMMYFUNCTION("""COMPUTED_VALUE"""),"Searching")</f>
        <v>Searching</v>
      </c>
      <c r="D412" s="77" t="str">
        <f>IFERROR(__xludf.DUMMYFUNCTION("""COMPUTED_VALUE"""),"Brazil")</f>
        <v>Brazil</v>
      </c>
      <c r="E412" s="58"/>
      <c r="F412" s="59"/>
      <c r="G412" s="60">
        <f>IFERROR(__xludf.DUMMYFUNCTION("""COMPUTED_VALUE"""),2.3E8)</f>
        <v>230000000</v>
      </c>
      <c r="H412" s="60">
        <f>IFERROR(__xludf.DUMMYFUNCTION("""COMPUTED_VALUE"""),2.2241E8)</f>
        <v>222410000</v>
      </c>
      <c r="I412" s="61">
        <f>IFERROR(__xludf.DUMMYFUNCTION("""COMPUTED_VALUE"""),9.67)</f>
        <v>9.67</v>
      </c>
      <c r="J412" s="62">
        <f>IFERROR(__xludf.DUMMYFUNCTION("""COMPUTED_VALUE"""),-0.01024)</f>
        <v>-0.01024</v>
      </c>
      <c r="K412" s="59" t="str">
        <f>IFERROR(__xludf.DUMMYFUNCTION("""COMPUTED_VALUE""")," ")</f>
        <v> </v>
      </c>
      <c r="L412" s="63" t="str">
        <f>IFERROR(__xludf.DUMMYFUNCTION("""COMPUTED_VALUE""")," ")</f>
        <v> </v>
      </c>
      <c r="M412" s="64" t="str">
        <f>IFERROR(__xludf.DUMMYFUNCTION("""COMPUTED_VALUE"""),"U: [1/2 W]; W: [1:1, $11.5]")</f>
        <v>U: [1/2 W]; W: [1:1, $11.5]</v>
      </c>
      <c r="N412" s="65">
        <f>IFERROR(__xludf.DUMMYFUNCTION("""COMPUTED_VALUE"""),44284.0)</f>
        <v>44284</v>
      </c>
      <c r="O412" s="66">
        <f>IFERROR(__xludf.DUMMYFUNCTION("""COMPUTED_VALUE"""),0.0)</f>
        <v>0</v>
      </c>
      <c r="P412" s="67">
        <f>IFERROR(__xludf.DUMMYFUNCTION("""COMPUTED_VALUE"""),44230.0)</f>
        <v>44230</v>
      </c>
      <c r="Q412" s="68">
        <f>IFERROR(__xludf.DUMMYFUNCTION("""COMPUTED_VALUE"""),230.0)</f>
        <v>230</v>
      </c>
      <c r="R412" s="69" t="str">
        <f>IFERROR(__xludf.DUMMYFUNCTION("""COMPUTED_VALUE"""),"Citigroup, UBS")</f>
        <v>Citigroup, UBS</v>
      </c>
      <c r="S412" s="64">
        <f>IFERROR(__xludf.DUMMYFUNCTION("""COMPUTED_VALUE"""),44960.0)</f>
        <v>44960</v>
      </c>
      <c r="T412" s="70">
        <f>IFERROR(__xludf.DUMMYFUNCTION("""COMPUTED_VALUE"""),0.09041095890410959)</f>
        <v>0.0904109589</v>
      </c>
      <c r="U412" s="71" t="str">
        <f>IFERROR(__xludf.DUMMYFUNCTION("""COMPUTED_VALUE"""),"https://www.sec.gov/cgi-bin/browse-edgar?CIK=1805508")</f>
        <v>https://www.sec.gov/cgi-bin/browse-edgar?CIK=1805508</v>
      </c>
      <c r="V412" s="72" t="str">
        <f>IFERROR(__xludf.DUMMYFUNCTION("""COMPUTED_VALUE""")," Trading Below $10 (Common)          Top Tier UW ")</f>
        <v> Trading Below $10 (Common)          Top Tier UW </v>
      </c>
      <c r="W412" s="73"/>
      <c r="X412" s="74"/>
      <c r="Y412" s="75"/>
      <c r="Z412" s="60"/>
      <c r="AA412" s="60"/>
      <c r="AB412" s="60"/>
      <c r="AC412" s="60"/>
      <c r="AD412" s="73"/>
      <c r="AE412" s="73"/>
      <c r="AF412" s="76"/>
      <c r="AG412" s="60" t="str">
        <f>IFERROR(__xludf.DUMMYFUNCTION("""COMPUTED_VALUE"""),"")</f>
        <v/>
      </c>
    </row>
    <row r="413">
      <c r="A413" s="54" t="str">
        <f>IFERROR(__xludf.DUMMYFUNCTION("""COMPUTED_VALUE"""),"IVAN")</f>
        <v>IVAN</v>
      </c>
      <c r="B413" s="55" t="str">
        <f>IFERROR(__xludf.DUMMYFUNCTION("""COMPUTED_VALUE"""),"Ivanhoe Capital Acquisition Corp.")</f>
        <v>Ivanhoe Capital Acquisition Corp.</v>
      </c>
      <c r="C413" s="56" t="str">
        <f>IFERROR(__xludf.DUMMYFUNCTION("""COMPUTED_VALUE"""),"Searching")</f>
        <v>Searching</v>
      </c>
      <c r="D413" s="77" t="str">
        <f>IFERROR(__xludf.DUMMYFUNCTION("""COMPUTED_VALUE"""),"Electrification (Mining, Transportation, Battery Tech/Storage)")</f>
        <v>Electrification (Mining, Transportation, Battery Tech/Storage)</v>
      </c>
      <c r="E413" s="58"/>
      <c r="F413" s="59" t="str">
        <f>IFERROR(__xludf.DUMMYFUNCTION("""COMPUTED_VALUE"""),"Robert Friedland (President/CEO, Ivanhoe Capital and Ivanhoe Mines)")</f>
        <v>Robert Friedland (President/CEO, Ivanhoe Capital and Ivanhoe Mines)</v>
      </c>
      <c r="G413" s="60">
        <f>IFERROR(__xludf.DUMMYFUNCTION("""COMPUTED_VALUE"""),2.76E8)</f>
        <v>276000000</v>
      </c>
      <c r="H413" s="60">
        <f>IFERROR(__xludf.DUMMYFUNCTION("""COMPUTED_VALUE"""),2.79588E8)</f>
        <v>279588000</v>
      </c>
      <c r="I413" s="61">
        <f>IFERROR(__xludf.DUMMYFUNCTION("""COMPUTED_VALUE"""),10.13)</f>
        <v>10.13</v>
      </c>
      <c r="J413" s="62">
        <f>IFERROR(__xludf.DUMMYFUNCTION("""COMPUTED_VALUE"""),0.00796)</f>
        <v>0.00796</v>
      </c>
      <c r="K413" s="59">
        <f>IFERROR(__xludf.DUMMYFUNCTION("""COMPUTED_VALUE"""),10.53)</f>
        <v>10.53</v>
      </c>
      <c r="L413" s="63">
        <f>IFERROR(__xludf.DUMMYFUNCTION("""COMPUTED_VALUE"""),1.4)</f>
        <v>1.4</v>
      </c>
      <c r="M413" s="64" t="str">
        <f>IFERROR(__xludf.DUMMYFUNCTION("""COMPUTED_VALUE"""),"U: [1/3 W]; W: [1:1, $11.5]")</f>
        <v>U: [1/3 W]; W: [1:1, $11.5]</v>
      </c>
      <c r="N413" s="65">
        <f>IFERROR(__xludf.DUMMYFUNCTION("""COMPUTED_VALUE"""),44256.0)</f>
        <v>44256</v>
      </c>
      <c r="O413" s="66">
        <f>IFERROR(__xludf.DUMMYFUNCTION("""COMPUTED_VALUE"""),0.0)</f>
        <v>0</v>
      </c>
      <c r="P413" s="67">
        <f>IFERROR(__xludf.DUMMYFUNCTION("""COMPUTED_VALUE"""),44202.0)</f>
        <v>44202</v>
      </c>
      <c r="Q413" s="68">
        <f>IFERROR(__xludf.DUMMYFUNCTION("""COMPUTED_VALUE"""),276.0)</f>
        <v>276</v>
      </c>
      <c r="R413" s="69" t="str">
        <f>IFERROR(__xludf.DUMMYFUNCTION("""COMPUTED_VALUE"""),"Morgan Stanley")</f>
        <v>Morgan Stanley</v>
      </c>
      <c r="S413" s="64">
        <f>IFERROR(__xludf.DUMMYFUNCTION("""COMPUTED_VALUE"""),44932.0)</f>
        <v>44932</v>
      </c>
      <c r="T413" s="70">
        <f>IFERROR(__xludf.DUMMYFUNCTION("""COMPUTED_VALUE"""),0.12876712328767123)</f>
        <v>0.1287671233</v>
      </c>
      <c r="U413" s="71" t="str">
        <f>IFERROR(__xludf.DUMMYFUNCTION("""COMPUTED_VALUE"""),"https://www.sec.gov/cgi-bin/browse-edgar?CIK=1819142")</f>
        <v>https://www.sec.gov/cgi-bin/browse-edgar?CIK=1819142</v>
      </c>
      <c r="V413" s="72" t="str">
        <f>IFERROR(__xludf.DUMMYFUNCTION("""COMPUTED_VALUE"""),"Sustainability         Well-known Sponsor  Top Tier UW ")</f>
        <v>Sustainability         Well-known Sponsor  Top Tier UW </v>
      </c>
      <c r="W413" s="73"/>
      <c r="X413" s="74"/>
      <c r="Y413" s="75"/>
      <c r="Z413" s="60"/>
      <c r="AA413" s="60"/>
      <c r="AB413" s="60"/>
      <c r="AC413" s="60"/>
      <c r="AD413" s="73"/>
      <c r="AE413" s="73"/>
      <c r="AF413" s="76"/>
      <c r="AG413" s="60" t="str">
        <f>IFERROR(__xludf.DUMMYFUNCTION("""COMPUTED_VALUE"""),"")</f>
        <v/>
      </c>
    </row>
    <row r="414">
      <c r="A414" s="54" t="str">
        <f>IFERROR(__xludf.DUMMYFUNCTION("""COMPUTED_VALUE"""),"IVCP")</f>
        <v>IVCP</v>
      </c>
      <c r="B414" s="55" t="str">
        <f>IFERROR(__xludf.DUMMYFUNCTION("""COMPUTED_VALUE"""),"Swiftmerge Acquisition Corp.")</f>
        <v>Swiftmerge Acquisition Corp.</v>
      </c>
      <c r="C414" s="56" t="str">
        <f>IFERROR(__xludf.DUMMYFUNCTION("""COMPUTED_VALUE"""),"Pre IPO")</f>
        <v>Pre IPO</v>
      </c>
      <c r="D414" s="77" t="str">
        <f>IFERROR(__xludf.DUMMYFUNCTION("""COMPUTED_VALUE"""),"Consumer Tech/Internet")</f>
        <v>Consumer Tech/Internet</v>
      </c>
      <c r="E414" s="58"/>
      <c r="F414" s="59" t="str">
        <f>IFERROR(__xludf.DUMMYFUNCTION("""COMPUTED_VALUE"""),"George Jones (Former CEO of Borders and Former CEO of Saks Department Store Group), General (Ret.) Wesley Clark, Dario Meli (Co-Founder of Hootsuite), Praveen Varshney (Co-Founder &amp; Director of Mogo)")</f>
        <v>George Jones (Former CEO of Borders and Former CEO of Saks Department Store Group), General (Ret.) Wesley Clark, Dario Meli (Co-Founder of Hootsuite), Praveen Varshney (Co-Founder &amp; Director of Mogo)</v>
      </c>
      <c r="G414" s="60">
        <f>IFERROR(__xludf.DUMMYFUNCTION("""COMPUTED_VALUE"""),2.5E8)</f>
        <v>250000000</v>
      </c>
      <c r="H414" s="60" t="str">
        <f>IFERROR(__xludf.DUMMYFUNCTION("""COMPUTED_VALUE""")," ")</f>
        <v> </v>
      </c>
      <c r="I414" s="61" t="str">
        <f>IFERROR(__xludf.DUMMYFUNCTION("""COMPUTED_VALUE""")," ")</f>
        <v> </v>
      </c>
      <c r="J414" s="62" t="str">
        <f>IFERROR(__xludf.DUMMYFUNCTION("""COMPUTED_VALUE""")," ")</f>
        <v> </v>
      </c>
      <c r="K414" s="59" t="str">
        <f>IFERROR(__xludf.DUMMYFUNCTION("""COMPUTED_VALUE""")," ")</f>
        <v> </v>
      </c>
      <c r="L414" s="63" t="str">
        <f>IFERROR(__xludf.DUMMYFUNCTION("""COMPUTED_VALUE""")," ")</f>
        <v> </v>
      </c>
      <c r="M414" s="64" t="str">
        <f>IFERROR(__xludf.DUMMYFUNCTION("""COMPUTED_VALUE"""),"U: [1/3 W]; W: [1:1, $11.5]")</f>
        <v>U: [1/3 W]; W: [1:1, $11.5]</v>
      </c>
      <c r="N414" s="65" t="str">
        <f>IFERROR(__xludf.DUMMYFUNCTION("""COMPUTED_VALUE"""),"")</f>
        <v/>
      </c>
      <c r="O414" s="66">
        <f>IFERROR(__xludf.DUMMYFUNCTION("""COMPUTED_VALUE"""),0.0)</f>
        <v>0</v>
      </c>
      <c r="P414" s="67"/>
      <c r="Q414" s="68">
        <f>IFERROR(__xludf.DUMMYFUNCTION("""COMPUTED_VALUE"""),250.0)</f>
        <v>250</v>
      </c>
      <c r="R414" s="69" t="str">
        <f>IFERROR(__xludf.DUMMYFUNCTION("""COMPUTED_VALUE"""),"BofA Securities")</f>
        <v>BofA Securities</v>
      </c>
      <c r="S414" s="64">
        <f>IFERROR(__xludf.DUMMYFUNCTION("""COMPUTED_VALUE"""),45086.0)</f>
        <v>45086</v>
      </c>
      <c r="T414" s="70" t="str">
        <f>IFERROR(__xludf.DUMMYFUNCTION("""COMPUTED_VALUE"""),"")</f>
        <v/>
      </c>
      <c r="U414" s="71" t="str">
        <f>IFERROR(__xludf.DUMMYFUNCTION("""COMPUTED_VALUE"""),"https://www.sec.gov/cgi-bin/browse-edgar?CIK=1845123")</f>
        <v>https://www.sec.gov/cgi-bin/browse-edgar?CIK=1845123</v>
      </c>
      <c r="V414" s="72" t="str">
        <f>IFERROR(__xludf.DUMMYFUNCTION("""COMPUTED_VALUE"""),"         Well-known Sponsor  Top Tier UW ")</f>
        <v>         Well-known Sponsor  Top Tier UW </v>
      </c>
      <c r="W414" s="73"/>
      <c r="X414" s="74"/>
      <c r="Y414" s="75"/>
      <c r="Z414" s="60"/>
      <c r="AA414" s="60"/>
      <c r="AB414" s="60"/>
      <c r="AC414" s="60"/>
      <c r="AD414" s="73"/>
      <c r="AE414" s="73"/>
      <c r="AF414" s="76"/>
      <c r="AG414" s="60"/>
    </row>
    <row r="415">
      <c r="A415" s="54" t="str">
        <f>IFERROR(__xludf.DUMMYFUNCTION("""COMPUTED_VALUE"""),"JAAC")</f>
        <v>JAAC</v>
      </c>
      <c r="B415" s="55" t="str">
        <f>IFERROR(__xludf.DUMMYFUNCTION("""COMPUTED_VALUE"""),"Just Another Acquisition Corp.")</f>
        <v>Just Another Acquisition Corp.</v>
      </c>
      <c r="C415" s="56" t="str">
        <f>IFERROR(__xludf.DUMMYFUNCTION("""COMPUTED_VALUE"""),"Pre IPO")</f>
        <v>Pre IPO</v>
      </c>
      <c r="D415" s="57"/>
      <c r="E415" s="58"/>
      <c r="F415" s="59"/>
      <c r="G415" s="60">
        <f>IFERROR(__xludf.DUMMYFUNCTION("""COMPUTED_VALUE"""),6.0E7)</f>
        <v>60000000</v>
      </c>
      <c r="H415" s="60" t="str">
        <f>IFERROR(__xludf.DUMMYFUNCTION("""COMPUTED_VALUE""")," ")</f>
        <v> </v>
      </c>
      <c r="I415" s="61" t="str">
        <f>IFERROR(__xludf.DUMMYFUNCTION("""COMPUTED_VALUE""")," ")</f>
        <v> </v>
      </c>
      <c r="J415" s="62" t="str">
        <f>IFERROR(__xludf.DUMMYFUNCTION("""COMPUTED_VALUE""")," ")</f>
        <v> </v>
      </c>
      <c r="K415" s="59" t="str">
        <f>IFERROR(__xludf.DUMMYFUNCTION("""COMPUTED_VALUE""")," ")</f>
        <v> </v>
      </c>
      <c r="L415" s="63" t="str">
        <f>IFERROR(__xludf.DUMMYFUNCTION("""COMPUTED_VALUE""")," ")</f>
        <v> </v>
      </c>
      <c r="M415" s="64" t="str">
        <f>IFERROR(__xludf.DUMMYFUNCTION("""COMPUTED_VALUE"""),"U: [No Units]; W: [No Warrants]")</f>
        <v>U: [No Units]; W: [No Warrants]</v>
      </c>
      <c r="N415" s="65" t="str">
        <f>IFERROR(__xludf.DUMMYFUNCTION("""COMPUTED_VALUE"""),"")</f>
        <v/>
      </c>
      <c r="O415" s="66" t="str">
        <f>IFERROR(__xludf.DUMMYFUNCTION("""COMPUTED_VALUE"""),"")</f>
        <v/>
      </c>
      <c r="P415" s="67"/>
      <c r="Q415" s="68">
        <f>IFERROR(__xludf.DUMMYFUNCTION("""COMPUTED_VALUE"""),60.0)</f>
        <v>60</v>
      </c>
      <c r="R415" s="69" t="str">
        <f>IFERROR(__xludf.DUMMYFUNCTION("""COMPUTED_VALUE"""),"Ladenburg Thalmann")</f>
        <v>Ladenburg Thalmann</v>
      </c>
      <c r="S415" s="64">
        <f>IFERROR(__xludf.DUMMYFUNCTION("""COMPUTED_VALUE"""),45086.0)</f>
        <v>45086</v>
      </c>
      <c r="T415" s="70" t="str">
        <f>IFERROR(__xludf.DUMMYFUNCTION("""COMPUTED_VALUE"""),"")</f>
        <v/>
      </c>
      <c r="U415" s="71" t="str">
        <f>IFERROR(__xludf.DUMMYFUNCTION("""COMPUTED_VALUE"""),"https://www.sec.gov/cgi-bin/browse-edgar?CIK=1846189")</f>
        <v>https://www.sec.gov/cgi-bin/browse-edgar?CIK=1846189</v>
      </c>
      <c r="V415" s="72" t="str">
        <f>IFERROR(__xludf.DUMMYFUNCTION("""COMPUTED_VALUE"""),"            ")</f>
        <v>            </v>
      </c>
      <c r="W415" s="73"/>
      <c r="X415" s="74"/>
      <c r="Y415" s="75"/>
      <c r="Z415" s="60"/>
      <c r="AA415" s="60"/>
      <c r="AB415" s="60"/>
      <c r="AC415" s="60"/>
      <c r="AD415" s="73"/>
      <c r="AE415" s="73"/>
      <c r="AF415" s="76"/>
      <c r="AG415" s="60"/>
    </row>
    <row r="416">
      <c r="A416" s="54" t="str">
        <f>IFERROR(__xludf.DUMMYFUNCTION("""COMPUTED_VALUE"""),"JACA")</f>
        <v>JACA</v>
      </c>
      <c r="B416" s="55" t="str">
        <f>IFERROR(__xludf.DUMMYFUNCTION("""COMPUTED_VALUE"""),"Jeneration Acquisition Corp")</f>
        <v>Jeneration Acquisition Corp</v>
      </c>
      <c r="C416" s="56" t="str">
        <f>IFERROR(__xludf.DUMMYFUNCTION("""COMPUTED_VALUE"""),"Pre IPO")</f>
        <v>Pre IPO</v>
      </c>
      <c r="D416" s="77" t="str">
        <f>IFERROR(__xludf.DUMMYFUNCTION("""COMPUTED_VALUE"""),"Tech in Asia (focus in China), Mobility, AI, robotics &amp; clean energy")</f>
        <v>Tech in Asia (focus in China), Mobility, AI, robotics &amp; clean energy</v>
      </c>
      <c r="E416" s="58"/>
      <c r="F416" s="59" t="str">
        <f>IFERROR(__xludf.DUMMYFUNCTION("""COMPUTED_VALUE"""),"Jason Tan (Partner &amp; Chief Investment Officer of Jeneration Capital, and Former Director of JD.com &amp; Grab), Eric Levin (CFO of Warner Music Group Corp), Cheng Lu (CEO of TuSimple)")</f>
        <v>Jason Tan (Partner &amp; Chief Investment Officer of Jeneration Capital, and Former Director of JD.com &amp; Grab), Eric Levin (CFO of Warner Music Group Corp), Cheng Lu (CEO of TuSimple)</v>
      </c>
      <c r="G416" s="60">
        <f>IFERROR(__xludf.DUMMYFUNCTION("""COMPUTED_VALUE"""),3.0E8)</f>
        <v>300000000</v>
      </c>
      <c r="H416" s="60" t="str">
        <f>IFERROR(__xludf.DUMMYFUNCTION("""COMPUTED_VALUE""")," ")</f>
        <v> </v>
      </c>
      <c r="I416" s="61" t="str">
        <f>IFERROR(__xludf.DUMMYFUNCTION("""COMPUTED_VALUE""")," ")</f>
        <v> </v>
      </c>
      <c r="J416" s="62" t="str">
        <f>IFERROR(__xludf.DUMMYFUNCTION("""COMPUTED_VALUE""")," ")</f>
        <v> </v>
      </c>
      <c r="K416" s="59" t="str">
        <f>IFERROR(__xludf.DUMMYFUNCTION("""COMPUTED_VALUE""")," ")</f>
        <v> </v>
      </c>
      <c r="L416" s="63" t="str">
        <f>IFERROR(__xludf.DUMMYFUNCTION("""COMPUTED_VALUE""")," ")</f>
        <v> </v>
      </c>
      <c r="M416" s="64" t="str">
        <f>IFERROR(__xludf.DUMMYFUNCTION("""COMPUTED_VALUE"""),"U: [1/4 W]; W: [1:1, $11.5]")</f>
        <v>U: [1/4 W]; W: [1:1, $11.5]</v>
      </c>
      <c r="N416" s="65" t="str">
        <f>IFERROR(__xludf.DUMMYFUNCTION("""COMPUTED_VALUE"""),"")</f>
        <v/>
      </c>
      <c r="O416" s="66">
        <f>IFERROR(__xludf.DUMMYFUNCTION("""COMPUTED_VALUE"""),0.0)</f>
        <v>0</v>
      </c>
      <c r="P416" s="67"/>
      <c r="Q416" s="68">
        <f>IFERROR(__xludf.DUMMYFUNCTION("""COMPUTED_VALUE"""),300.0)</f>
        <v>300</v>
      </c>
      <c r="R416" s="69" t="str">
        <f>IFERROR(__xludf.DUMMYFUNCTION("""COMPUTED_VALUE"""),"Morgan Stanley, Deutsche Bank Securities")</f>
        <v>Morgan Stanley, Deutsche Bank Securities</v>
      </c>
      <c r="S416" s="64">
        <f>IFERROR(__xludf.DUMMYFUNCTION("""COMPUTED_VALUE"""),45086.0)</f>
        <v>45086</v>
      </c>
      <c r="T416" s="70" t="str">
        <f>IFERROR(__xludf.DUMMYFUNCTION("""COMPUTED_VALUE"""),"")</f>
        <v/>
      </c>
      <c r="U416" s="71" t="str">
        <f>IFERROR(__xludf.DUMMYFUNCTION("""COMPUTED_VALUE"""),"https://www.sec.gov/cgi-bin/browse-edgar?CIK=1847280")</f>
        <v>https://www.sec.gov/cgi-bin/browse-edgar?CIK=1847280</v>
      </c>
      <c r="V416" s="72" t="str">
        <f>IFERROR(__xludf.DUMMYFUNCTION("""COMPUTED_VALUE"""),"           Top Tier UW ")</f>
        <v>           Top Tier UW </v>
      </c>
      <c r="W416" s="73"/>
      <c r="X416" s="74"/>
      <c r="Y416" s="75"/>
      <c r="Z416" s="60"/>
      <c r="AA416" s="60"/>
      <c r="AB416" s="60"/>
      <c r="AC416" s="60"/>
      <c r="AD416" s="73"/>
      <c r="AE416" s="73"/>
      <c r="AF416" s="76"/>
      <c r="AG416" s="60"/>
    </row>
    <row r="417">
      <c r="A417" s="54" t="str">
        <f>IFERROR(__xludf.DUMMYFUNCTION("""COMPUTED_VALUE"""),"JAQC")</f>
        <v>JAQC</v>
      </c>
      <c r="B417" s="55" t="str">
        <f>IFERROR(__xludf.DUMMYFUNCTION("""COMPUTED_VALUE"""),"Jupiter Acquisition Corporation")</f>
        <v>Jupiter Acquisition Corporation</v>
      </c>
      <c r="C417" s="56" t="str">
        <f>IFERROR(__xludf.DUMMYFUNCTION("""COMPUTED_VALUE"""),"Pre IPO")</f>
        <v>Pre IPO</v>
      </c>
      <c r="D417" s="77" t="str">
        <f>IFERROR(__xludf.DUMMYFUNCTION("""COMPUTED_VALUE"""),"Consumer and Tech, Media, Telecom")</f>
        <v>Consumer and Tech, Media, Telecom</v>
      </c>
      <c r="E417" s="58"/>
      <c r="F417" s="59" t="str">
        <f>IFERROR(__xludf.DUMMYFUNCTION("""COMPUTED_VALUE"""),"James Hauslein (Former CEO, Sunglass Hut)")</f>
        <v>James Hauslein (Former CEO, Sunglass Hut)</v>
      </c>
      <c r="G417" s="60">
        <f>IFERROR(__xludf.DUMMYFUNCTION("""COMPUTED_VALUE"""),2.0E8)</f>
        <v>200000000</v>
      </c>
      <c r="H417" s="60" t="str">
        <f>IFERROR(__xludf.DUMMYFUNCTION("""COMPUTED_VALUE""")," ")</f>
        <v> </v>
      </c>
      <c r="I417" s="61" t="str">
        <f>IFERROR(__xludf.DUMMYFUNCTION("""COMPUTED_VALUE""")," ")</f>
        <v> </v>
      </c>
      <c r="J417" s="62" t="str">
        <f>IFERROR(__xludf.DUMMYFUNCTION("""COMPUTED_VALUE""")," ")</f>
        <v> </v>
      </c>
      <c r="K417" s="59" t="str">
        <f>IFERROR(__xludf.DUMMYFUNCTION("""COMPUTED_VALUE""")," ")</f>
        <v> </v>
      </c>
      <c r="L417" s="63" t="str">
        <f>IFERROR(__xludf.DUMMYFUNCTION("""COMPUTED_VALUE""")," ")</f>
        <v> </v>
      </c>
      <c r="M417" s="64" t="str">
        <f>IFERROR(__xludf.DUMMYFUNCTION("""COMPUTED_VALUE"""),"U: [1/2 W]; W: [1:1, $11.5]")</f>
        <v>U: [1/2 W]; W: [1:1, $11.5]</v>
      </c>
      <c r="N417" s="65" t="str">
        <f>IFERROR(__xludf.DUMMYFUNCTION("""COMPUTED_VALUE"""),"")</f>
        <v/>
      </c>
      <c r="O417" s="66" t="str">
        <f>IFERROR(__xludf.DUMMYFUNCTION("""COMPUTED_VALUE"""),"")</f>
        <v/>
      </c>
      <c r="P417" s="67"/>
      <c r="Q417" s="68">
        <f>IFERROR(__xludf.DUMMYFUNCTION("""COMPUTED_VALUE"""),200.0)</f>
        <v>200</v>
      </c>
      <c r="R417" s="69" t="str">
        <f>IFERROR(__xludf.DUMMYFUNCTION("""COMPUTED_VALUE"""),"Nomura, Brookline Capital Markets, Ladenburg Thalmann
")</f>
        <v>Nomura, Brookline Capital Markets, Ladenburg Thalmann
</v>
      </c>
      <c r="S417" s="64">
        <f>IFERROR(__xludf.DUMMYFUNCTION("""COMPUTED_VALUE"""),45086.0)</f>
        <v>45086</v>
      </c>
      <c r="T417" s="70" t="str">
        <f>IFERROR(__xludf.DUMMYFUNCTION("""COMPUTED_VALUE"""),"")</f>
        <v/>
      </c>
      <c r="U417" s="71" t="str">
        <f>IFERROR(__xludf.DUMMYFUNCTION("""COMPUTED_VALUE"""),"https://www.sec.gov/cgi-bin/browse-edgar?CIK=1817868")</f>
        <v>https://www.sec.gov/cgi-bin/browse-edgar?CIK=1817868</v>
      </c>
      <c r="V417" s="72" t="str">
        <f>IFERROR(__xludf.DUMMYFUNCTION("""COMPUTED_VALUE"""),"            ")</f>
        <v>            </v>
      </c>
      <c r="W417" s="73"/>
      <c r="X417" s="74"/>
      <c r="Y417" s="75"/>
      <c r="Z417" s="60"/>
      <c r="AA417" s="60"/>
      <c r="AB417" s="60"/>
      <c r="AC417" s="60"/>
      <c r="AD417" s="73"/>
      <c r="AE417" s="73"/>
      <c r="AF417" s="76"/>
      <c r="AG417" s="60" t="str">
        <f>IFERROR(__xludf.DUMMYFUNCTION("""COMPUTED_VALUE"""),"")</f>
        <v/>
      </c>
    </row>
    <row r="418">
      <c r="A418" s="54" t="str">
        <f>IFERROR(__xludf.DUMMYFUNCTION("""COMPUTED_VALUE"""),"JCIC")</f>
        <v>JCIC</v>
      </c>
      <c r="B418" s="55" t="str">
        <f>IFERROR(__xludf.DUMMYFUNCTION("""COMPUTED_VALUE"""),"Jack Creek Investment Corp.")</f>
        <v>Jack Creek Investment Corp.</v>
      </c>
      <c r="C418" s="56" t="str">
        <f>IFERROR(__xludf.DUMMYFUNCTION("""COMPUTED_VALUE"""),"Searching")</f>
        <v>Searching</v>
      </c>
      <c r="D418" s="77" t="str">
        <f>IFERROR(__xludf.DUMMYFUNCTION("""COMPUTED_VALUE"""),"Food and Grocery Supply Chain")</f>
        <v>Food and Grocery Supply Chain</v>
      </c>
      <c r="E418" s="58"/>
      <c r="F418" s="59" t="str">
        <f>IFERROR(__xludf.DUMMYFUNCTION("""COMPUTED_VALUE"""),"Thomas Jermoluk (CEO, Beyond Identity; Fmr GP, Kleiner Perkins), Samir Kaul (GP, Khosla Ventures)")</f>
        <v>Thomas Jermoluk (CEO, Beyond Identity; Fmr GP, Kleiner Perkins), Samir Kaul (GP, Khosla Ventures)</v>
      </c>
      <c r="G418" s="60">
        <f>IFERROR(__xludf.DUMMYFUNCTION("""COMPUTED_VALUE"""),3.45E8)</f>
        <v>345000000</v>
      </c>
      <c r="H418" s="60">
        <f>IFERROR(__xludf.DUMMYFUNCTION("""COMPUTED_VALUE"""),3.37065E8)</f>
        <v>337065000</v>
      </c>
      <c r="I418" s="61">
        <f>IFERROR(__xludf.DUMMYFUNCTION("""COMPUTED_VALUE"""),9.77)</f>
        <v>9.77</v>
      </c>
      <c r="J418" s="62">
        <f>IFERROR(__xludf.DUMMYFUNCTION("""COMPUTED_VALUE"""),-0.01313)</f>
        <v>-0.01313</v>
      </c>
      <c r="K418" s="59">
        <f>IFERROR(__xludf.DUMMYFUNCTION("""COMPUTED_VALUE"""),10.08)</f>
        <v>10.08</v>
      </c>
      <c r="L418" s="63">
        <f>IFERROR(__xludf.DUMMYFUNCTION("""COMPUTED_VALUE"""),0.7301)</f>
        <v>0.7301</v>
      </c>
      <c r="M418" s="64" t="str">
        <f>IFERROR(__xludf.DUMMYFUNCTION("""COMPUTED_VALUE"""),"U: [1/2 W]; W: [1:1, $11.5]")</f>
        <v>U: [1/2 W]; W: [1:1, $11.5]</v>
      </c>
      <c r="N418" s="65">
        <f>IFERROR(__xludf.DUMMYFUNCTION("""COMPUTED_VALUE"""),44270.0)</f>
        <v>44270</v>
      </c>
      <c r="O418" s="66">
        <f>IFERROR(__xludf.DUMMYFUNCTION("""COMPUTED_VALUE"""),0.0)</f>
        <v>0</v>
      </c>
      <c r="P418" s="67">
        <f>IFERROR(__xludf.DUMMYFUNCTION("""COMPUTED_VALUE"""),44217.0)</f>
        <v>44217</v>
      </c>
      <c r="Q418" s="68">
        <f>IFERROR(__xludf.DUMMYFUNCTION("""COMPUTED_VALUE"""),345.0)</f>
        <v>345</v>
      </c>
      <c r="R418" s="69" t="str">
        <f>IFERROR(__xludf.DUMMYFUNCTION("""COMPUTED_VALUE"""),"JP Morgan")</f>
        <v>JP Morgan</v>
      </c>
      <c r="S418" s="64">
        <f>IFERROR(__xludf.DUMMYFUNCTION("""COMPUTED_VALUE"""),44947.0)</f>
        <v>44947</v>
      </c>
      <c r="T418" s="70">
        <f>IFERROR(__xludf.DUMMYFUNCTION("""COMPUTED_VALUE"""),0.10821917808219178)</f>
        <v>0.1082191781</v>
      </c>
      <c r="U418" s="71" t="str">
        <f>IFERROR(__xludf.DUMMYFUNCTION("""COMPUTED_VALUE"""),"https://www.sec.gov/cgi-bin/browse-edgar?CIK=1822312")</f>
        <v>https://www.sec.gov/cgi-bin/browse-edgar?CIK=1822312</v>
      </c>
      <c r="V418" s="72" t="str">
        <f>IFERROR(__xludf.DUMMYFUNCTION("""COMPUTED_VALUE""")," Trading Below $10 (Common)        Well-known Sponsor  Top Tier UW ")</f>
        <v> Trading Below $10 (Common)        Well-known Sponsor  Top Tier UW </v>
      </c>
      <c r="W418" s="73"/>
      <c r="X418" s="74"/>
      <c r="Y418" s="75"/>
      <c r="Z418" s="60"/>
      <c r="AA418" s="60"/>
      <c r="AB418" s="60"/>
      <c r="AC418" s="60"/>
      <c r="AD418" s="73"/>
      <c r="AE418" s="73"/>
      <c r="AF418" s="76"/>
      <c r="AG418" s="60" t="str">
        <f>IFERROR(__xludf.DUMMYFUNCTION("""COMPUTED_VALUE"""),"")</f>
        <v/>
      </c>
    </row>
    <row r="419">
      <c r="A419" s="54" t="str">
        <f>IFERROR(__xludf.DUMMYFUNCTION("""COMPUTED_VALUE"""),"JIH")</f>
        <v>JIH</v>
      </c>
      <c r="B419" s="55" t="str">
        <f>IFERROR(__xludf.DUMMYFUNCTION("""COMPUTED_VALUE"""),"Juniper Industrial Holdings Inc")</f>
        <v>Juniper Industrial Holdings Inc</v>
      </c>
      <c r="C419" s="56" t="str">
        <f>IFERROR(__xludf.DUMMYFUNCTION("""COMPUTED_VALUE"""),"Definitive Agreement")</f>
        <v>Definitive Agreement</v>
      </c>
      <c r="D419" s="77" t="str">
        <f>IFERROR(__xludf.DUMMYFUNCTION("""COMPUTED_VALUE"""),"Industrials")</f>
        <v>Industrials</v>
      </c>
      <c r="E419" s="58" t="str">
        <f>IFERROR(__xludf.DUMMYFUNCTION("""COMPUTED_VALUE"""),"Janus International [DA: 12/22/20]")</f>
        <v>Janus International [DA: 12/22/20]</v>
      </c>
      <c r="F419" s="59"/>
      <c r="G419" s="60">
        <f>IFERROR(__xludf.DUMMYFUNCTION("""COMPUTED_VALUE"""),3.47472903E8)</f>
        <v>347472903</v>
      </c>
      <c r="H419" s="60">
        <f>IFERROR(__xludf.DUMMYFUNCTION("""COMPUTED_VALUE"""),4.5747E8)</f>
        <v>457470000</v>
      </c>
      <c r="I419" s="61">
        <f>IFERROR(__xludf.DUMMYFUNCTION("""COMPUTED_VALUE"""),13.26)</f>
        <v>13.26</v>
      </c>
      <c r="J419" s="62">
        <f>IFERROR(__xludf.DUMMYFUNCTION("""COMPUTED_VALUE"""),-0.01632)</f>
        <v>-0.01632</v>
      </c>
      <c r="K419" s="59">
        <f>IFERROR(__xludf.DUMMYFUNCTION("""COMPUTED_VALUE"""),15.04)</f>
        <v>15.04</v>
      </c>
      <c r="L419" s="63">
        <f>IFERROR(__xludf.DUMMYFUNCTION("""COMPUTED_VALUE"""),3.46)</f>
        <v>3.46</v>
      </c>
      <c r="M419" s="64" t="str">
        <f>IFERROR(__xludf.DUMMYFUNCTION("""COMPUTED_VALUE"""),"U: [1/2 W]; W: [1:1, $11.5]")</f>
        <v>U: [1/2 W]; W: [1:1, $11.5]</v>
      </c>
      <c r="N419" s="65" t="str">
        <f>IFERROR(__xludf.DUMMYFUNCTION("""COMPUTED_VALUE"""),"")</f>
        <v/>
      </c>
      <c r="O419" s="66">
        <f>IFERROR(__xludf.DUMMYFUNCTION("""COMPUTED_VALUE"""),1.7599999999999998)</f>
        <v>1.76</v>
      </c>
      <c r="P419" s="67">
        <f>IFERROR(__xludf.DUMMYFUNCTION("""COMPUTED_VALUE"""),43777.0)</f>
        <v>43777</v>
      </c>
      <c r="Q419" s="68">
        <f>IFERROR(__xludf.DUMMYFUNCTION("""COMPUTED_VALUE"""),345.0)</f>
        <v>345</v>
      </c>
      <c r="R419" s="69" t="str">
        <f>IFERROR(__xludf.DUMMYFUNCTION("""COMPUTED_VALUE"""),"UBS")</f>
        <v>UBS</v>
      </c>
      <c r="S419" s="64">
        <f>IFERROR(__xludf.DUMMYFUNCTION("""COMPUTED_VALUE"""),44507.0)</f>
        <v>44507</v>
      </c>
      <c r="T419" s="70">
        <f>IFERROR(__xludf.DUMMYFUNCTION("""COMPUTED_VALUE"""),0.7109589041095891)</f>
        <v>0.7109589041</v>
      </c>
      <c r="U419" s="71" t="str">
        <f>IFERROR(__xludf.DUMMYFUNCTION("""COMPUTED_VALUE"""),"https://www.sec.gov/cgi-bin/browse-edgar?CIK=1787791")</f>
        <v>https://www.sec.gov/cgi-bin/browse-edgar?CIK=1787791</v>
      </c>
      <c r="V419" s="72" t="str">
        <f>IFERROR(__xludf.DUMMYFUNCTION("""COMPUTED_VALUE"""),"     Optionable       ")</f>
        <v>     Optionable       </v>
      </c>
      <c r="W419" s="73">
        <f>IFERROR(__xludf.DUMMYFUNCTION("""COMPUTED_VALUE"""),44187.0)</f>
        <v>44187</v>
      </c>
      <c r="X419" s="79">
        <f>IFERROR(__xludf.DUMMYFUNCTION("""COMPUTED_VALUE"""),13.666666666666666)</f>
        <v>13.66666667</v>
      </c>
      <c r="Y419" s="80" t="str">
        <f>IFERROR(__xludf.DUMMYFUNCTION("""COMPUTED_VALUE"""),"https://www.businesswire.com/news/home/20201222005143/en/Clearlake-Portfolio-Company-Janus-International-to-List-on-New-York-Stock-Exchange-through-Business-Combination-with-Juniper-Industrial-Holdings")</f>
        <v>https://www.businesswire.com/news/home/20201222005143/en/Clearlake-Portfolio-Company-Janus-International-to-List-on-New-York-Stock-Exchange-through-Business-Combination-with-Juniper-Industrial-Holdings</v>
      </c>
      <c r="Z419" s="81" t="str">
        <f>IFERROR(__xludf.DUMMYFUNCTION("""COMPUTED_VALUE"""),"https://static1.squarespace.com/static/5da5d5a8874e8c5ee9565de2/t/5fe159e825b6576954770526/1608604140010/Janus_Investor+Presentation_December+2020.pdf")</f>
        <v>https://static1.squarespace.com/static/5da5d5a8874e8c5ee9565de2/t/5fe159e825b6576954770526/1608604140010/Janus_Investor+Presentation_December+2020.pdf</v>
      </c>
      <c r="AA419" s="60">
        <f>IFERROR(__xludf.DUMMYFUNCTION("""COMPUTED_VALUE"""),2.5E8)</f>
        <v>250000000</v>
      </c>
      <c r="AB419" s="60">
        <f>IFERROR(__xludf.DUMMYFUNCTION("""COMPUTED_VALUE"""),1.362E9)</f>
        <v>1362000000</v>
      </c>
      <c r="AC419" s="60">
        <f>IFERROR(__xludf.DUMMYFUNCTION("""COMPUTED_VALUE"""),1.93E9)</f>
        <v>1930000000</v>
      </c>
      <c r="AD419" s="73"/>
      <c r="AE419" s="73"/>
      <c r="AF419" s="76">
        <f>IFERROR(__xludf.DUMMYFUNCTION("""COMPUTED_VALUE"""),1.362E8)</f>
        <v>136200000</v>
      </c>
      <c r="AG419" s="60">
        <f>IFERROR(__xludf.DUMMYFUNCTION("""COMPUTED_VALUE"""),1.806012E9)</f>
        <v>1806012000</v>
      </c>
    </row>
    <row r="420">
      <c r="A420" s="54" t="str">
        <f>IFERROR(__xludf.DUMMYFUNCTION("""COMPUTED_VALUE"""),"JOFF")</f>
        <v>JOFF</v>
      </c>
      <c r="B420" s="55" t="str">
        <f>IFERROR(__xludf.DUMMYFUNCTION("""COMPUTED_VALUE"""),"JOFF Fintech Acquisition Corp.")</f>
        <v>JOFF Fintech Acquisition Corp.</v>
      </c>
      <c r="C420" s="56" t="str">
        <f>IFERROR(__xludf.DUMMYFUNCTION("""COMPUTED_VALUE"""),"Searching")</f>
        <v>Searching</v>
      </c>
      <c r="D420" s="77" t="str">
        <f>IFERROR(__xludf.DUMMYFUNCTION("""COMPUTED_VALUE"""),"Fintech")</f>
        <v>Fintech</v>
      </c>
      <c r="E420" s="58"/>
      <c r="F420" s="59" t="str">
        <f>IFERROR(__xludf.DUMMYFUNCTION("""COMPUTED_VALUE"""),"Joel Leonoff (Vice Chairman, Paysafe), Peter Smith (Fmr CFO, Paysafe), Alok Sama (Fmr CFO, SoftBank Group International; Fmr Chief Strategy Officer, SoftBank Group)")</f>
        <v>Joel Leonoff (Vice Chairman, Paysafe), Peter Smith (Fmr CFO, Paysafe), Alok Sama (Fmr CFO, SoftBank Group International; Fmr Chief Strategy Officer, SoftBank Group)</v>
      </c>
      <c r="G420" s="60">
        <f>IFERROR(__xludf.DUMMYFUNCTION("""COMPUTED_VALUE"""),4.14E8)</f>
        <v>414000000</v>
      </c>
      <c r="H420" s="60">
        <f>IFERROR(__xludf.DUMMYFUNCTION("""COMPUTED_VALUE"""),4.0779E8)</f>
        <v>407790000</v>
      </c>
      <c r="I420" s="61">
        <f>IFERROR(__xludf.DUMMYFUNCTION("""COMPUTED_VALUE"""),9.85)</f>
        <v>9.85</v>
      </c>
      <c r="J420" s="62">
        <f>IFERROR(__xludf.DUMMYFUNCTION("""COMPUTED_VALUE"""),-0.01401)</f>
        <v>-0.01401</v>
      </c>
      <c r="K420" s="59">
        <f>IFERROR(__xludf.DUMMYFUNCTION("""COMPUTED_VALUE"""),10.0601)</f>
        <v>10.0601</v>
      </c>
      <c r="L420" s="63">
        <f>IFERROR(__xludf.DUMMYFUNCTION("""COMPUTED_VALUE"""),0.85)</f>
        <v>0.85</v>
      </c>
      <c r="M420" s="64" t="str">
        <f>IFERROR(__xludf.DUMMYFUNCTION("""COMPUTED_VALUE"""),"U: [1/3 W]; W: [1:1, $11.5]")</f>
        <v>U: [1/3 W]; W: [1:1, $11.5]</v>
      </c>
      <c r="N420" s="65">
        <f>IFERROR(__xludf.DUMMYFUNCTION("""COMPUTED_VALUE"""),44284.0)</f>
        <v>44284</v>
      </c>
      <c r="O420" s="66">
        <f>IFERROR(__xludf.DUMMYFUNCTION("""COMPUTED_VALUE"""),0.0)</f>
        <v>0</v>
      </c>
      <c r="P420" s="67">
        <f>IFERROR(__xludf.DUMMYFUNCTION("""COMPUTED_VALUE"""),44231.0)</f>
        <v>44231</v>
      </c>
      <c r="Q420" s="68">
        <f>IFERROR(__xludf.DUMMYFUNCTION("""COMPUTED_VALUE"""),414.0)</f>
        <v>414</v>
      </c>
      <c r="R420" s="69" t="str">
        <f>IFERROR(__xludf.DUMMYFUNCTION("""COMPUTED_VALUE"""),"RBC Capital Markets")</f>
        <v>RBC Capital Markets</v>
      </c>
      <c r="S420" s="64">
        <f>IFERROR(__xludf.DUMMYFUNCTION("""COMPUTED_VALUE"""),44961.0)</f>
        <v>44961</v>
      </c>
      <c r="T420" s="70">
        <f>IFERROR(__xludf.DUMMYFUNCTION("""COMPUTED_VALUE"""),0.08904109589041095)</f>
        <v>0.08904109589</v>
      </c>
      <c r="U420" s="71" t="str">
        <f>IFERROR(__xludf.DUMMYFUNCTION("""COMPUTED_VALUE"""),"https://www.sec.gov/cgi-bin/browse-edgar?CIK=1824149")</f>
        <v>https://www.sec.gov/cgi-bin/browse-edgar?CIK=1824149</v>
      </c>
      <c r="V420" s="72" t="str">
        <f>IFERROR(__xludf.DUMMYFUNCTION("""COMPUTED_VALUE""")," Trading Below $10 (Common)           ")</f>
        <v> Trading Below $10 (Common)           </v>
      </c>
      <c r="W420" s="73"/>
      <c r="X420" s="74"/>
      <c r="Y420" s="75"/>
      <c r="Z420" s="60"/>
      <c r="AA420" s="60"/>
      <c r="AB420" s="60"/>
      <c r="AC420" s="60"/>
      <c r="AD420" s="73"/>
      <c r="AE420" s="73"/>
      <c r="AF420" s="76"/>
      <c r="AG420" s="60" t="str">
        <f>IFERROR(__xludf.DUMMYFUNCTION("""COMPUTED_VALUE"""),"")</f>
        <v/>
      </c>
    </row>
    <row r="421">
      <c r="A421" s="54" t="str">
        <f>IFERROR(__xludf.DUMMYFUNCTION("""COMPUTED_VALUE"""),"JUGG")</f>
        <v>JUGG</v>
      </c>
      <c r="B421" s="55" t="str">
        <f>IFERROR(__xludf.DUMMYFUNCTION("""COMPUTED_VALUE"""),"Jaws Juggernaut Acquisition Corp")</f>
        <v>Jaws Juggernaut Acquisition Corp</v>
      </c>
      <c r="C421" s="56" t="str">
        <f>IFERROR(__xludf.DUMMYFUNCTION("""COMPUTED_VALUE"""),"Pre IPO")</f>
        <v>Pre IPO</v>
      </c>
      <c r="D421" s="77" t="str">
        <f>IFERROR(__xludf.DUMMYFUNCTION("""COMPUTED_VALUE"""),"Wireless communications &amp; XCOM Labs")</f>
        <v>Wireless communications &amp; XCOM Labs</v>
      </c>
      <c r="E421" s="58"/>
      <c r="F421" s="59" t="str">
        <f>IFERROR(__xludf.DUMMYFUNCTION("""COMPUTED_VALUE"""),"Barry Sternlicht (Chairman/CEO, Starwood Capital), Paul Jacobs (Fmr Executive Chairman/CEO, Qualcomm; Chairman/CEO, XCOM Labs)")</f>
        <v>Barry Sternlicht (Chairman/CEO, Starwood Capital), Paul Jacobs (Fmr Executive Chairman/CEO, Qualcomm; Chairman/CEO, XCOM Labs)</v>
      </c>
      <c r="G421" s="60">
        <f>IFERROR(__xludf.DUMMYFUNCTION("""COMPUTED_VALUE"""),2.0E8)</f>
        <v>200000000</v>
      </c>
      <c r="H421" s="60" t="str">
        <f>IFERROR(__xludf.DUMMYFUNCTION("""COMPUTED_VALUE""")," ")</f>
        <v> </v>
      </c>
      <c r="I421" s="61" t="str">
        <f>IFERROR(__xludf.DUMMYFUNCTION("""COMPUTED_VALUE""")," ")</f>
        <v> </v>
      </c>
      <c r="J421" s="62" t="str">
        <f>IFERROR(__xludf.DUMMYFUNCTION("""COMPUTED_VALUE""")," ")</f>
        <v> </v>
      </c>
      <c r="K421" s="59" t="str">
        <f>IFERROR(__xludf.DUMMYFUNCTION("""COMPUTED_VALUE""")," ")</f>
        <v> </v>
      </c>
      <c r="L421" s="63" t="str">
        <f>IFERROR(__xludf.DUMMYFUNCTION("""COMPUTED_VALUE""")," ")</f>
        <v> </v>
      </c>
      <c r="M421" s="64" t="str">
        <f>IFERROR(__xludf.DUMMYFUNCTION("""COMPUTED_VALUE"""),"U: [1/4 W]; W: [1:1, $11.5]")</f>
        <v>U: [1/4 W]; W: [1:1, $11.5]</v>
      </c>
      <c r="N421" s="65" t="str">
        <f>IFERROR(__xludf.DUMMYFUNCTION("""COMPUTED_VALUE"""),"")</f>
        <v/>
      </c>
      <c r="O421" s="66" t="str">
        <f>IFERROR(__xludf.DUMMYFUNCTION("""COMPUTED_VALUE"""),"")</f>
        <v/>
      </c>
      <c r="P421" s="67"/>
      <c r="Q421" s="68">
        <f>IFERROR(__xludf.DUMMYFUNCTION("""COMPUTED_VALUE"""),200.0)</f>
        <v>200</v>
      </c>
      <c r="R421" s="69" t="str">
        <f>IFERROR(__xludf.DUMMYFUNCTION("""COMPUTED_VALUE"""),"Credit Suisse")</f>
        <v>Credit Suisse</v>
      </c>
      <c r="S421" s="64">
        <f>IFERROR(__xludf.DUMMYFUNCTION("""COMPUTED_VALUE"""),45086.0)</f>
        <v>45086</v>
      </c>
      <c r="T421" s="70" t="str">
        <f>IFERROR(__xludf.DUMMYFUNCTION("""COMPUTED_VALUE"""),"")</f>
        <v/>
      </c>
      <c r="U421" s="71" t="str">
        <f>IFERROR(__xludf.DUMMYFUNCTION("""COMPUTED_VALUE"""),"https://www.sec.gov/cgi-bin/browse-edgar?CIK=1842609")</f>
        <v>https://www.sec.gov/cgi-bin/browse-edgar?CIK=1842609</v>
      </c>
      <c r="V421" s="72" t="str">
        <f>IFERROR(__xludf.DUMMYFUNCTION("""COMPUTED_VALUE"""),"         Well-known Sponsor Serial Sponsor  ")</f>
        <v>         Well-known Sponsor Serial Sponsor  </v>
      </c>
      <c r="W421" s="73"/>
      <c r="X421" s="74"/>
      <c r="Y421" s="75"/>
      <c r="Z421" s="60"/>
      <c r="AA421" s="60"/>
      <c r="AB421" s="60"/>
      <c r="AC421" s="60"/>
      <c r="AD421" s="73"/>
      <c r="AE421" s="73"/>
      <c r="AF421" s="76"/>
      <c r="AG421" s="60"/>
    </row>
    <row r="422">
      <c r="A422" s="54" t="str">
        <f>IFERROR(__xludf.DUMMYFUNCTION("""COMPUTED_VALUE"""),"JUN")</f>
        <v>JUN</v>
      </c>
      <c r="B422" s="55" t="str">
        <f>IFERROR(__xludf.DUMMYFUNCTION("""COMPUTED_VALUE"""),"Juniper II Corp.")</f>
        <v>Juniper II Corp.</v>
      </c>
      <c r="C422" s="56" t="str">
        <f>IFERROR(__xludf.DUMMYFUNCTION("""COMPUTED_VALUE"""),"Pre IPO")</f>
        <v>Pre IPO</v>
      </c>
      <c r="D422" s="57" t="str">
        <f>IFERROR(__xludf.DUMMYFUNCTION("""COMPUTED_VALUE"""),"Industrial")</f>
        <v>Industrial</v>
      </c>
      <c r="E422" s="58"/>
      <c r="F422" s="59"/>
      <c r="G422" s="60">
        <f>IFERROR(__xludf.DUMMYFUNCTION("""COMPUTED_VALUE"""),4.0E8)</f>
        <v>400000000</v>
      </c>
      <c r="H422" s="60" t="str">
        <f>IFERROR(__xludf.DUMMYFUNCTION("""COMPUTED_VALUE""")," ")</f>
        <v> </v>
      </c>
      <c r="I422" s="61" t="str">
        <f>IFERROR(__xludf.DUMMYFUNCTION("""COMPUTED_VALUE""")," ")</f>
        <v> </v>
      </c>
      <c r="J422" s="62" t="str">
        <f>IFERROR(__xludf.DUMMYFUNCTION("""COMPUTED_VALUE""")," ")</f>
        <v> </v>
      </c>
      <c r="K422" s="59" t="str">
        <f>IFERROR(__xludf.DUMMYFUNCTION("""COMPUTED_VALUE""")," ")</f>
        <v> </v>
      </c>
      <c r="L422" s="63" t="str">
        <f>IFERROR(__xludf.DUMMYFUNCTION("""COMPUTED_VALUE""")," ")</f>
        <v> </v>
      </c>
      <c r="M422" s="64" t="str">
        <f>IFERROR(__xludf.DUMMYFUNCTION("""COMPUTED_VALUE"""),"U: [1/4 W]; W: [1:1, $11.5]")</f>
        <v>U: [1/4 W]; W: [1:1, $11.5]</v>
      </c>
      <c r="N422" s="65" t="str">
        <f>IFERROR(__xludf.DUMMYFUNCTION("""COMPUTED_VALUE"""),"")</f>
        <v/>
      </c>
      <c r="O422" s="66">
        <f>IFERROR(__xludf.DUMMYFUNCTION("""COMPUTED_VALUE"""),0.0)</f>
        <v>0</v>
      </c>
      <c r="P422" s="67"/>
      <c r="Q422" s="68">
        <f>IFERROR(__xludf.DUMMYFUNCTION("""COMPUTED_VALUE"""),400.0)</f>
        <v>400</v>
      </c>
      <c r="R422" s="69" t="str">
        <f>IFERROR(__xludf.DUMMYFUNCTION("""COMPUTED_VALUE"""),"Morgan Stanley, UBS Investment Bank")</f>
        <v>Morgan Stanley, UBS Investment Bank</v>
      </c>
      <c r="S422" s="64">
        <f>IFERROR(__xludf.DUMMYFUNCTION("""COMPUTED_VALUE"""),45086.0)</f>
        <v>45086</v>
      </c>
      <c r="T422" s="70" t="str">
        <f>IFERROR(__xludf.DUMMYFUNCTION("""COMPUTED_VALUE"""),"")</f>
        <v/>
      </c>
      <c r="U422" s="71" t="str">
        <f>IFERROR(__xludf.DUMMYFUNCTION("""COMPUTED_VALUE"""),"https://www.sec.gov/cgi-bin/browse-edgar?CIK=1838814")</f>
        <v>https://www.sec.gov/cgi-bin/browse-edgar?CIK=1838814</v>
      </c>
      <c r="V422" s="72" t="str">
        <f>IFERROR(__xludf.DUMMYFUNCTION("""COMPUTED_VALUE"""),"           Top Tier UW ")</f>
        <v>           Top Tier UW </v>
      </c>
      <c r="W422" s="73"/>
      <c r="X422" s="74"/>
      <c r="Y422" s="75"/>
      <c r="Z422" s="60"/>
      <c r="AA422" s="60"/>
      <c r="AB422" s="60"/>
      <c r="AC422" s="60"/>
      <c r="AD422" s="73"/>
      <c r="AE422" s="73"/>
      <c r="AF422" s="76"/>
      <c r="AG422" s="60"/>
    </row>
    <row r="423">
      <c r="A423" s="54" t="str">
        <f>IFERROR(__xludf.DUMMYFUNCTION("""COMPUTED_VALUE"""),"JWS")</f>
        <v>JWS</v>
      </c>
      <c r="B423" s="55" t="str">
        <f>IFERROR(__xludf.DUMMYFUNCTION("""COMPUTED_VALUE"""),"Jaws Acquisition Corp")</f>
        <v>Jaws Acquisition Corp</v>
      </c>
      <c r="C423" s="56" t="str">
        <f>IFERROR(__xludf.DUMMYFUNCTION("""COMPUTED_VALUE"""),"Definitive Agreement")</f>
        <v>Definitive Agreement</v>
      </c>
      <c r="D423" s="57"/>
      <c r="E423" s="58" t="str">
        <f>IFERROR(__xludf.DUMMYFUNCTION("""COMPUTED_VALUE"""),"Cano Health [DA: 11/12/20]")</f>
        <v>Cano Health [DA: 11/12/20]</v>
      </c>
      <c r="F423" s="59" t="str">
        <f>IFERROR(__xludf.DUMMYFUNCTION("""COMPUTED_VALUE"""),"Barry Sternlicht (Chairman and CEO of Starwood Capital Group)")</f>
        <v>Barry Sternlicht (Chairman and CEO of Starwood Capital Group)</v>
      </c>
      <c r="G423" s="60">
        <f>IFERROR(__xludf.DUMMYFUNCTION("""COMPUTED_VALUE"""),6.90192093E8)</f>
        <v>690192093</v>
      </c>
      <c r="H423" s="60">
        <f>IFERROR(__xludf.DUMMYFUNCTION("""COMPUTED_VALUE"""),9.0666E8)</f>
        <v>906660000</v>
      </c>
      <c r="I423" s="61">
        <f>IFERROR(__xludf.DUMMYFUNCTION("""COMPUTED_VALUE"""),13.14)</f>
        <v>13.14</v>
      </c>
      <c r="J423" s="62">
        <f>IFERROR(__xludf.DUMMYFUNCTION("""COMPUTED_VALUE"""),-0.02232)</f>
        <v>-0.02232</v>
      </c>
      <c r="K423" s="59">
        <f>IFERROR(__xludf.DUMMYFUNCTION("""COMPUTED_VALUE"""),14.98)</f>
        <v>14.98</v>
      </c>
      <c r="L423" s="63">
        <f>IFERROR(__xludf.DUMMYFUNCTION("""COMPUTED_VALUE"""),3.5)</f>
        <v>3.5</v>
      </c>
      <c r="M423" s="64" t="str">
        <f>IFERROR(__xludf.DUMMYFUNCTION("""COMPUTED_VALUE"""),"U: [1/3 W]; W: [1:1, $11.5]")</f>
        <v>U: [1/3 W]; W: [1:1, $11.5]</v>
      </c>
      <c r="N423" s="65" t="str">
        <f>IFERROR(__xludf.DUMMYFUNCTION("""COMPUTED_VALUE"""),"")</f>
        <v/>
      </c>
      <c r="O423" s="66">
        <f>IFERROR(__xludf.DUMMYFUNCTION("""COMPUTED_VALUE"""),1.6400000000000006)</f>
        <v>1.64</v>
      </c>
      <c r="P423" s="67">
        <f>IFERROR(__xludf.DUMMYFUNCTION("""COMPUTED_VALUE"""),43965.0)</f>
        <v>43965</v>
      </c>
      <c r="Q423" s="68">
        <f>IFERROR(__xludf.DUMMYFUNCTION("""COMPUTED_VALUE"""),690.0)</f>
        <v>690</v>
      </c>
      <c r="R423" s="69" t="str">
        <f>IFERROR(__xludf.DUMMYFUNCTION("""COMPUTED_VALUE"""),"Credit Suisse, Morgan Stanley")</f>
        <v>Credit Suisse, Morgan Stanley</v>
      </c>
      <c r="S423" s="64">
        <f>IFERROR(__xludf.DUMMYFUNCTION("""COMPUTED_VALUE"""),44695.0)</f>
        <v>44695</v>
      </c>
      <c r="T423" s="70">
        <f>IFERROR(__xludf.DUMMYFUNCTION("""COMPUTED_VALUE"""),0.4534246575342466)</f>
        <v>0.4534246575</v>
      </c>
      <c r="U423" s="71" t="str">
        <f>IFERROR(__xludf.DUMMYFUNCTION("""COMPUTED_VALUE"""),"https://www.sec.gov/cgi-bin/browse-edgar?CIK=1800682")</f>
        <v>https://www.sec.gov/cgi-bin/browse-edgar?CIK=1800682</v>
      </c>
      <c r="V423" s="72" t="str">
        <f>IFERROR(__xludf.DUMMYFUNCTION("""COMPUTED_VALUE"""),"Healthcare   $500M+ Trust Optionable    Well-known Sponsor Serial Sponsor Top Tier UW ")</f>
        <v>Healthcare   $500M+ Trust Optionable    Well-known Sponsor Serial Sponsor Top Tier UW </v>
      </c>
      <c r="W423" s="73">
        <f>IFERROR(__xludf.DUMMYFUNCTION("""COMPUTED_VALUE"""),44147.0)</f>
        <v>44147</v>
      </c>
      <c r="X423" s="79">
        <f>IFERROR(__xludf.DUMMYFUNCTION("""COMPUTED_VALUE"""),6.066666666666666)</f>
        <v>6.066666667</v>
      </c>
      <c r="Y423" s="80" t="str">
        <f>IFERROR(__xludf.DUMMYFUNCTION("""COMPUTED_VALUE"""),"https://www.prnewswire.com/news-releases/cano-health-a-leading-value-based-care-delivery-platform-for-seniors-to-become-publicly-traded-via-merger-with-jaws-acquisition-corp-301171741.html")</f>
        <v>https://www.prnewswire.com/news-releases/cano-health-a-leading-value-based-care-delivery-platform-for-seniors-to-become-publicly-traded-via-merger-with-jaws-acquisition-corp-301171741.html</v>
      </c>
      <c r="Z423" s="81" t="str">
        <f>IFERROR(__xludf.DUMMYFUNCTION("""COMPUTED_VALUE"""),"https://www.sec.gov/Archives/edgar/data/1800682/000110465920124050/tm2035668d1_ex99-2.htm")</f>
        <v>https://www.sec.gov/Archives/edgar/data/1800682/000110465920124050/tm2035668d1_ex99-2.htm</v>
      </c>
      <c r="AA423" s="60">
        <f>IFERROR(__xludf.DUMMYFUNCTION("""COMPUTED_VALUE"""),8.0E8)</f>
        <v>800000000</v>
      </c>
      <c r="AB423" s="60">
        <f>IFERROR(__xludf.DUMMYFUNCTION("""COMPUTED_VALUE"""),4.695E9)</f>
        <v>4695000000</v>
      </c>
      <c r="AC423" s="60">
        <f>IFERROR(__xludf.DUMMYFUNCTION("""COMPUTED_VALUE"""),4.439E9)</f>
        <v>4439000000</v>
      </c>
      <c r="AD423" s="73"/>
      <c r="AE423" s="73"/>
      <c r="AF423" s="76">
        <f>IFERROR(__xludf.DUMMYFUNCTION("""COMPUTED_VALUE"""),4.695E8)</f>
        <v>469500000</v>
      </c>
      <c r="AG423" s="60">
        <f>IFERROR(__xludf.DUMMYFUNCTION("""COMPUTED_VALUE"""),6.16923E9)</f>
        <v>6169230000</v>
      </c>
    </row>
    <row r="424">
      <c r="A424" s="54" t="str">
        <f>IFERROR(__xludf.DUMMYFUNCTION("""COMPUTED_VALUE"""),"JWSM")</f>
        <v>JWSM</v>
      </c>
      <c r="B424" s="55" t="str">
        <f>IFERROR(__xludf.DUMMYFUNCTION("""COMPUTED_VALUE"""),"Jaws Mustang Acquisition Corporation")</f>
        <v>Jaws Mustang Acquisition Corporation</v>
      </c>
      <c r="C424" s="56" t="str">
        <f>IFERROR(__xludf.DUMMYFUNCTION("""COMPUTED_VALUE"""),"Searching")</f>
        <v>Searching</v>
      </c>
      <c r="D424" s="57" t="str">
        <f>IFERROR(__xludf.DUMMYFUNCTION("""COMPUTED_VALUE"""),"North America/Europe")</f>
        <v>North America/Europe</v>
      </c>
      <c r="E424" s="58"/>
      <c r="F424" s="59" t="str">
        <f>IFERROR(__xludf.DUMMYFUNCTION("""COMPUTED_VALUE"""),"Barry Sternlicht (Chairman and CEO of Starwood Capital Group), John Legere (Fmr CEO, T-Mobile)")</f>
        <v>Barry Sternlicht (Chairman and CEO of Starwood Capital Group), John Legere (Fmr CEO, T-Mobile)</v>
      </c>
      <c r="G424" s="60">
        <f>IFERROR(__xludf.DUMMYFUNCTION("""COMPUTED_VALUE"""),1.035E9)</f>
        <v>1035000000</v>
      </c>
      <c r="H424" s="60"/>
      <c r="I424" s="61">
        <f>IFERROR(__xludf.DUMMYFUNCTION("""COMPUTED_VALUE"""),10.02)</f>
        <v>10.02</v>
      </c>
      <c r="J424" s="62">
        <f>IFERROR(__xludf.DUMMYFUNCTION("""COMPUTED_VALUE"""),0.001)</f>
        <v>0.001</v>
      </c>
      <c r="K424" s="59">
        <f>IFERROR(__xludf.DUMMYFUNCTION("""COMPUTED_VALUE"""),10.29)</f>
        <v>10.29</v>
      </c>
      <c r="L424" s="63">
        <f>IFERROR(__xludf.DUMMYFUNCTION("""COMPUTED_VALUE"""),1.2)</f>
        <v>1.2</v>
      </c>
      <c r="M424" s="64" t="str">
        <f>IFERROR(__xludf.DUMMYFUNCTION("""COMPUTED_VALUE"""),"U: [1/4 W]; W: [1:1, $11.5]")</f>
        <v>U: [1/4 W]; W: [1:1, $11.5]</v>
      </c>
      <c r="N424" s="65" t="str">
        <f>IFERROR(__xludf.DUMMYFUNCTION("""COMPUTED_VALUE"""),"")</f>
        <v/>
      </c>
      <c r="O424" s="66">
        <f>IFERROR(__xludf.DUMMYFUNCTION("""COMPUTED_VALUE"""),0.0)</f>
        <v>0</v>
      </c>
      <c r="P424" s="67">
        <f>IFERROR(__xludf.DUMMYFUNCTION("""COMPUTED_VALUE"""),44229.0)</f>
        <v>44229</v>
      </c>
      <c r="Q424" s="68">
        <f>IFERROR(__xludf.DUMMYFUNCTION("""COMPUTED_VALUE"""),1035.0)</f>
        <v>1035</v>
      </c>
      <c r="R424" s="69" t="str">
        <f>IFERROR(__xludf.DUMMYFUNCTION("""COMPUTED_VALUE"""),"Credit Suisse, BofA Securities, Goldman Sachs")</f>
        <v>Credit Suisse, BofA Securities, Goldman Sachs</v>
      </c>
      <c r="S424" s="64">
        <f>IFERROR(__xludf.DUMMYFUNCTION("""COMPUTED_VALUE"""),44959.0)</f>
        <v>44959</v>
      </c>
      <c r="T424" s="70">
        <f>IFERROR(__xludf.DUMMYFUNCTION("""COMPUTED_VALUE"""),0.09178082191780822)</f>
        <v>0.09178082192</v>
      </c>
      <c r="U424" s="71" t="str">
        <f>IFERROR(__xludf.DUMMYFUNCTION("""COMPUTED_VALUE"""),"https://www.sec.gov/cgi-bin/browse-edgar?CIK=1831359")</f>
        <v>https://www.sec.gov/cgi-bin/browse-edgar?CIK=1831359</v>
      </c>
      <c r="V424" s="72" t="str">
        <f>IFERROR(__xludf.DUMMYFUNCTION("""COMPUTED_VALUE"""),"   $500M+ Trust     Well-known Sponsor Serial Sponsor Top Tier UW ")</f>
        <v>   $500M+ Trust     Well-known Sponsor Serial Sponsor Top Tier UW </v>
      </c>
      <c r="W424" s="73"/>
      <c r="X424" s="74"/>
      <c r="Y424" s="75"/>
      <c r="Z424" s="60"/>
      <c r="AA424" s="60"/>
      <c r="AB424" s="60"/>
      <c r="AC424" s="60"/>
      <c r="AD424" s="73"/>
      <c r="AE424" s="73"/>
      <c r="AF424" s="76"/>
      <c r="AG424" s="60" t="str">
        <f>IFERROR(__xludf.DUMMYFUNCTION("""COMPUTED_VALUE"""),"")</f>
        <v/>
      </c>
    </row>
    <row r="425">
      <c r="A425" s="54" t="str">
        <f>IFERROR(__xludf.DUMMYFUNCTION("""COMPUTED_VALUE"""),"JYAC")</f>
        <v>JYAC</v>
      </c>
      <c r="B425" s="55" t="str">
        <f>IFERROR(__xludf.DUMMYFUNCTION("""COMPUTED_VALUE"""),"Jiya Acquisition Corp.")</f>
        <v>Jiya Acquisition Corp.</v>
      </c>
      <c r="C425" s="56" t="str">
        <f>IFERROR(__xludf.DUMMYFUNCTION("""COMPUTED_VALUE"""),"Searching")</f>
        <v>Searching</v>
      </c>
      <c r="D425" s="77" t="str">
        <f>IFERROR(__xludf.DUMMYFUNCTION("""COMPUTED_VALUE"""),"Biopharma, Healthcare")</f>
        <v>Biopharma, Healthcare</v>
      </c>
      <c r="E425" s="58"/>
      <c r="F425" s="59" t="str">
        <f>IFERROR(__xludf.DUMMYFUNCTION("""COMPUTED_VALUE"""),"Srinivas Akkaraju (Founder/MP, Samsara Biocapital), Perry Karsen (Chair, Jounce Therapeutics; Fmr COO, Celgene)")</f>
        <v>Srinivas Akkaraju (Founder/MP, Samsara Biocapital), Perry Karsen (Chair, Jounce Therapeutics; Fmr COO, Celgene)</v>
      </c>
      <c r="G425" s="60">
        <f>IFERROR(__xludf.DUMMYFUNCTION("""COMPUTED_VALUE"""),1.0E8)</f>
        <v>100000000</v>
      </c>
      <c r="H425" s="60">
        <f>IFERROR(__xludf.DUMMYFUNCTION("""COMPUTED_VALUE"""),1.0859081E8)</f>
        <v>108590810</v>
      </c>
      <c r="I425" s="61">
        <f>IFERROR(__xludf.DUMMYFUNCTION("""COMPUTED_VALUE"""),10.0)</f>
        <v>10</v>
      </c>
      <c r="J425" s="62">
        <f>IFERROR(__xludf.DUMMYFUNCTION("""COMPUTED_VALUE"""),0.00806)</f>
        <v>0.00806</v>
      </c>
      <c r="K425" s="59" t="str">
        <f>IFERROR(__xludf.DUMMYFUNCTION("""COMPUTED_VALUE""")," ")</f>
        <v> </v>
      </c>
      <c r="L425" s="63" t="str">
        <f>IFERROR(__xludf.DUMMYFUNCTION("""COMPUTED_VALUE""")," ")</f>
        <v> </v>
      </c>
      <c r="M425" s="64" t="str">
        <f>IFERROR(__xludf.DUMMYFUNCTION("""COMPUTED_VALUE"""),"U: [No units]; W: [No warrants]")</f>
        <v>U: [No units]; W: [No warrants]</v>
      </c>
      <c r="N425" s="65" t="str">
        <f>IFERROR(__xludf.DUMMYFUNCTION("""COMPUTED_VALUE"""),"")</f>
        <v/>
      </c>
      <c r="O425" s="66" t="str">
        <f>IFERROR(__xludf.DUMMYFUNCTION("""COMPUTED_VALUE"""),"")</f>
        <v/>
      </c>
      <c r="P425" s="67">
        <f>IFERROR(__xludf.DUMMYFUNCTION("""COMPUTED_VALUE"""),44153.0)</f>
        <v>44153</v>
      </c>
      <c r="Q425" s="68">
        <f>IFERROR(__xludf.DUMMYFUNCTION("""COMPUTED_VALUE"""),100.0)</f>
        <v>100</v>
      </c>
      <c r="R425" s="69" t="str">
        <f>IFERROR(__xludf.DUMMYFUNCTION("""COMPUTED_VALUE"""),"Citigroup")</f>
        <v>Citigroup</v>
      </c>
      <c r="S425" s="64">
        <f>IFERROR(__xludf.DUMMYFUNCTION("""COMPUTED_VALUE"""),44883.0)</f>
        <v>44883</v>
      </c>
      <c r="T425" s="70">
        <f>IFERROR(__xludf.DUMMYFUNCTION("""COMPUTED_VALUE"""),0.1958904109589041)</f>
        <v>0.195890411</v>
      </c>
      <c r="U425" s="71" t="str">
        <f>IFERROR(__xludf.DUMMYFUNCTION("""COMPUTED_VALUE"""),"https://www.sec.gov/cgi-bin/browse-edgar?CIK=1824119")</f>
        <v>https://www.sec.gov/cgi-bin/browse-edgar?CIK=1824119</v>
      </c>
      <c r="V425" s="72" t="str">
        <f>IFERROR(__xludf.DUMMYFUNCTION("""COMPUTED_VALUE""")," Trading Below $10 (Common)          Top Tier UW ")</f>
        <v> Trading Below $10 (Common)          Top Tier UW </v>
      </c>
      <c r="W425" s="73"/>
      <c r="X425" s="74"/>
      <c r="Y425" s="75"/>
      <c r="Z425" s="60"/>
      <c r="AA425" s="60"/>
      <c r="AB425" s="60"/>
      <c r="AC425" s="60"/>
      <c r="AD425" s="73"/>
      <c r="AE425" s="73"/>
      <c r="AF425" s="76"/>
      <c r="AG425" s="60" t="str">
        <f>IFERROR(__xludf.DUMMYFUNCTION("""COMPUTED_VALUE"""),"")</f>
        <v/>
      </c>
    </row>
    <row r="426">
      <c r="A426" s="54" t="str">
        <f>IFERROR(__xludf.DUMMYFUNCTION("""COMPUTED_VALUE"""),"KAHC")</f>
        <v>KAHC</v>
      </c>
      <c r="B426" s="55" t="str">
        <f>IFERROR(__xludf.DUMMYFUNCTION("""COMPUTED_VALUE"""),"KKR Acquisition Holdings I Corp.")</f>
        <v>KKR Acquisition Holdings I Corp.</v>
      </c>
      <c r="C426" s="56" t="str">
        <f>IFERROR(__xludf.DUMMYFUNCTION("""COMPUTED_VALUE"""),"Searching (Pre Unit Split)")</f>
        <v>Searching (Pre Unit Split)</v>
      </c>
      <c r="D426" s="77" t="str">
        <f>IFERROR(__xludf.DUMMYFUNCTION("""COMPUTED_VALUE"""),"Consumer, Retail")</f>
        <v>Consumer, Retail</v>
      </c>
      <c r="E426" s="58"/>
      <c r="F426" s="59" t="str">
        <f>IFERROR(__xludf.DUMMYFUNCTION("""COMPUTED_VALUE"""),"Glenn Murphy (Fmr CEO, The Gap; Chairman, Lululemon Athletica)")</f>
        <v>Glenn Murphy (Fmr CEO, The Gap; Chairman, Lululemon Athletica)</v>
      </c>
      <c r="G426" s="60">
        <f>IFERROR(__xludf.DUMMYFUNCTION("""COMPUTED_VALUE"""),1.2E9)</f>
        <v>1200000000</v>
      </c>
      <c r="H426" s="60" t="str">
        <f>IFERROR(__xludf.DUMMYFUNCTION("""COMPUTED_VALUE""")," ")</f>
        <v> </v>
      </c>
      <c r="I426" s="61" t="str">
        <f>IFERROR(__xludf.DUMMYFUNCTION("""COMPUTED_VALUE""")," ")</f>
        <v> </v>
      </c>
      <c r="J426" s="62" t="str">
        <f>IFERROR(__xludf.DUMMYFUNCTION("""COMPUTED_VALUE""")," ")</f>
        <v> </v>
      </c>
      <c r="K426" s="59">
        <f>IFERROR(__xludf.DUMMYFUNCTION("""COMPUTED_VALUE"""),10.15)</f>
        <v>10.15</v>
      </c>
      <c r="L426" s="63" t="str">
        <f>IFERROR(__xludf.DUMMYFUNCTION("""COMPUTED_VALUE""")," ")</f>
        <v> </v>
      </c>
      <c r="M426" s="64" t="str">
        <f>IFERROR(__xludf.DUMMYFUNCTION("""COMPUTED_VALUE"""),"U: [1/4 W]; W: [1:1, $11.5]")</f>
        <v>U: [1/4 W]; W: [1:1, $11.5]</v>
      </c>
      <c r="N426" s="65">
        <f>IFERROR(__xludf.DUMMYFUNCTION("""COMPUTED_VALUE"""),44324.0)</f>
        <v>44324</v>
      </c>
      <c r="O426" s="66" t="str">
        <f>IFERROR(__xludf.DUMMYFUNCTION("""COMPUTED_VALUE"""),"")</f>
        <v/>
      </c>
      <c r="P426" s="67">
        <f>IFERROR(__xludf.DUMMYFUNCTION("""COMPUTED_VALUE"""),44272.0)</f>
        <v>44272</v>
      </c>
      <c r="Q426" s="68">
        <f>IFERROR(__xludf.DUMMYFUNCTION("""COMPUTED_VALUE"""),1200.0)</f>
        <v>1200</v>
      </c>
      <c r="R426" s="69" t="str">
        <f>IFERROR(__xludf.DUMMYFUNCTION("""COMPUTED_VALUE"""),"Citigroup")</f>
        <v>Citigroup</v>
      </c>
      <c r="S426" s="64">
        <f>IFERROR(__xludf.DUMMYFUNCTION("""COMPUTED_VALUE"""),45002.0)</f>
        <v>45002</v>
      </c>
      <c r="T426" s="70">
        <f>IFERROR(__xludf.DUMMYFUNCTION("""COMPUTED_VALUE"""),0.03287671232876712)</f>
        <v>0.03287671233</v>
      </c>
      <c r="U426" s="71" t="str">
        <f>IFERROR(__xludf.DUMMYFUNCTION("""COMPUTED_VALUE"""),"https://www.sec.gov/cgi-bin/browse-edgar?CIK=1843212")</f>
        <v>https://www.sec.gov/cgi-bin/browse-edgar?CIK=1843212</v>
      </c>
      <c r="V426" s="72" t="str">
        <f>IFERROR(__xludf.DUMMYFUNCTION("""COMPUTED_VALUE"""),"   $500M+ Trust     Well-known Sponsor Serial Sponsor Top Tier UW ")</f>
        <v>   $500M+ Trust     Well-known Sponsor Serial Sponsor Top Tier UW </v>
      </c>
      <c r="W426" s="73"/>
      <c r="X426" s="74"/>
      <c r="Y426" s="75"/>
      <c r="Z426" s="60"/>
      <c r="AA426" s="60"/>
      <c r="AB426" s="60"/>
      <c r="AC426" s="60"/>
      <c r="AD426" s="73"/>
      <c r="AE426" s="73"/>
      <c r="AF426" s="76"/>
      <c r="AG426" s="60" t="str">
        <f>IFERROR(__xludf.DUMMYFUNCTION("""COMPUTED_VALUE"""),"")</f>
        <v/>
      </c>
    </row>
    <row r="427">
      <c r="A427" s="54" t="str">
        <f>IFERROR(__xludf.DUMMYFUNCTION("""COMPUTED_VALUE"""),"KAII")</f>
        <v>KAII</v>
      </c>
      <c r="B427" s="55" t="str">
        <f>IFERROR(__xludf.DUMMYFUNCTION("""COMPUTED_VALUE"""),"Kismet Acquisition Two Corp")</f>
        <v>Kismet Acquisition Two Corp</v>
      </c>
      <c r="C427" s="56" t="str">
        <f>IFERROR(__xludf.DUMMYFUNCTION("""COMPUTED_VALUE"""),"Searching (Pre Unit Split)")</f>
        <v>Searching (Pre Unit Split)</v>
      </c>
      <c r="D427" s="77" t="str">
        <f>IFERROR(__xludf.DUMMYFUNCTION("""COMPUTED_VALUE"""),"Internet, Tech, Europe, Russia (Russian founders)")</f>
        <v>Internet, Tech, Europe, Russia (Russian founders)</v>
      </c>
      <c r="E427" s="58"/>
      <c r="F427" s="59"/>
      <c r="G427" s="60">
        <f>IFERROR(__xludf.DUMMYFUNCTION("""COMPUTED_VALUE"""),2.3E8)</f>
        <v>230000000</v>
      </c>
      <c r="H427" s="60" t="str">
        <f>IFERROR(__xludf.DUMMYFUNCTION("""COMPUTED_VALUE""")," ")</f>
        <v> </v>
      </c>
      <c r="I427" s="61" t="str">
        <f>IFERROR(__xludf.DUMMYFUNCTION("""COMPUTED_VALUE""")," ")</f>
        <v> </v>
      </c>
      <c r="J427" s="62" t="str">
        <f>IFERROR(__xludf.DUMMYFUNCTION("""COMPUTED_VALUE""")," ")</f>
        <v> </v>
      </c>
      <c r="K427" s="59">
        <f>IFERROR(__xludf.DUMMYFUNCTION("""COMPUTED_VALUE"""),10.04)</f>
        <v>10.04</v>
      </c>
      <c r="L427" s="63" t="str">
        <f>IFERROR(__xludf.DUMMYFUNCTION("""COMPUTED_VALUE""")," ")</f>
        <v> </v>
      </c>
      <c r="M427" s="64" t="str">
        <f>IFERROR(__xludf.DUMMYFUNCTION("""COMPUTED_VALUE"""),"U: [1/3 W]; W: [1:1, $11.5]")</f>
        <v>U: [1/3 W]; W: [1:1, $11.5]</v>
      </c>
      <c r="N427" s="65">
        <f>IFERROR(__xludf.DUMMYFUNCTION("""COMPUTED_VALUE"""),44296.0)</f>
        <v>44296</v>
      </c>
      <c r="O427" s="66" t="str">
        <f>IFERROR(__xludf.DUMMYFUNCTION("""COMPUTED_VALUE"""),"")</f>
        <v/>
      </c>
      <c r="P427" s="67">
        <f>IFERROR(__xludf.DUMMYFUNCTION("""COMPUTED_VALUE"""),44244.0)</f>
        <v>44244</v>
      </c>
      <c r="Q427" s="68">
        <f>IFERROR(__xludf.DUMMYFUNCTION("""COMPUTED_VALUE"""),230.0)</f>
        <v>230</v>
      </c>
      <c r="R427" s="69" t="str">
        <f>IFERROR(__xludf.DUMMYFUNCTION("""COMPUTED_VALUE"""),"Credit Suisse, Citigroup, BofA Securities")</f>
        <v>Credit Suisse, Citigroup, BofA Securities</v>
      </c>
      <c r="S427" s="64">
        <f>IFERROR(__xludf.DUMMYFUNCTION("""COMPUTED_VALUE"""),44974.0)</f>
        <v>44974</v>
      </c>
      <c r="T427" s="70">
        <f>IFERROR(__xludf.DUMMYFUNCTION("""COMPUTED_VALUE"""),0.07123287671232877)</f>
        <v>0.07123287671</v>
      </c>
      <c r="U427" s="71" t="str">
        <f>IFERROR(__xludf.DUMMYFUNCTION("""COMPUTED_VALUE"""),"https://www.sec.gov/cgi-bin/browse-edgar?CIK=1825962")</f>
        <v>https://www.sec.gov/cgi-bin/browse-edgar?CIK=1825962</v>
      </c>
      <c r="V427" s="72" t="str">
        <f>IFERROR(__xludf.DUMMYFUNCTION("""COMPUTED_VALUE"""),"          Serial Sponsor Top Tier UW ")</f>
        <v>          Serial Sponsor Top Tier UW </v>
      </c>
      <c r="W427" s="73"/>
      <c r="X427" s="74"/>
      <c r="Y427" s="75"/>
      <c r="Z427" s="60"/>
      <c r="AA427" s="60"/>
      <c r="AB427" s="60"/>
      <c r="AC427" s="60"/>
      <c r="AD427" s="73"/>
      <c r="AE427" s="73"/>
      <c r="AF427" s="76"/>
      <c r="AG427" s="60" t="str">
        <f>IFERROR(__xludf.DUMMYFUNCTION("""COMPUTED_VALUE"""),"")</f>
        <v/>
      </c>
    </row>
    <row r="428">
      <c r="A428" s="54" t="str">
        <f>IFERROR(__xludf.DUMMYFUNCTION("""COMPUTED_VALUE"""),"KAIR")</f>
        <v>KAIR</v>
      </c>
      <c r="B428" s="55" t="str">
        <f>IFERROR(__xludf.DUMMYFUNCTION("""COMPUTED_VALUE"""),"Kairos Acquisition Corp.")</f>
        <v>Kairos Acquisition Corp.</v>
      </c>
      <c r="C428" s="56" t="str">
        <f>IFERROR(__xludf.DUMMYFUNCTION("""COMPUTED_VALUE"""),"Searching")</f>
        <v>Searching</v>
      </c>
      <c r="D428" s="77" t="str">
        <f>IFERROR(__xludf.DUMMYFUNCTION("""COMPUTED_VALUE"""),"Insurance, InsurTech")</f>
        <v>Insurance, InsurTech</v>
      </c>
      <c r="E428" s="58"/>
      <c r="F428" s="59"/>
      <c r="G428" s="60">
        <f>IFERROR(__xludf.DUMMYFUNCTION("""COMPUTED_VALUE"""),2.76E8)</f>
        <v>276000000</v>
      </c>
      <c r="H428" s="60">
        <f>IFERROR(__xludf.DUMMYFUNCTION("""COMPUTED_VALUE"""),2.691E8)</f>
        <v>269100000</v>
      </c>
      <c r="I428" s="61">
        <f>IFERROR(__xludf.DUMMYFUNCTION("""COMPUTED_VALUE"""),9.75)</f>
        <v>9.75</v>
      </c>
      <c r="J428" s="62">
        <f>IFERROR(__xludf.DUMMYFUNCTION("""COMPUTED_VALUE"""),-0.01015)</f>
        <v>-0.01015</v>
      </c>
      <c r="K428" s="59">
        <f>IFERROR(__xludf.DUMMYFUNCTION("""COMPUTED_VALUE"""),10.19)</f>
        <v>10.19</v>
      </c>
      <c r="L428" s="63">
        <f>IFERROR(__xludf.DUMMYFUNCTION("""COMPUTED_VALUE"""),0.9)</f>
        <v>0.9</v>
      </c>
      <c r="M428" s="64" t="str">
        <f>IFERROR(__xludf.DUMMYFUNCTION("""COMPUTED_VALUE"""),"U: [1/2 W]; W: [1:1, $11.5]")</f>
        <v>U: [1/2 W]; W: [1:1, $11.5]</v>
      </c>
      <c r="N428" s="65">
        <f>IFERROR(__xludf.DUMMYFUNCTION("""COMPUTED_VALUE"""),44253.0)</f>
        <v>44253</v>
      </c>
      <c r="O428" s="66">
        <f>IFERROR(__xludf.DUMMYFUNCTION("""COMPUTED_VALUE"""),0.0)</f>
        <v>0</v>
      </c>
      <c r="P428" s="67">
        <f>IFERROR(__xludf.DUMMYFUNCTION("""COMPUTED_VALUE"""),44201.0)</f>
        <v>44201</v>
      </c>
      <c r="Q428" s="68">
        <f>IFERROR(__xludf.DUMMYFUNCTION("""COMPUTED_VALUE"""),276.0)</f>
        <v>276</v>
      </c>
      <c r="R428" s="69" t="str">
        <f>IFERROR(__xludf.DUMMYFUNCTION("""COMPUTED_VALUE"""),"Citigroup, I-Bankers")</f>
        <v>Citigroup, I-Bankers</v>
      </c>
      <c r="S428" s="64">
        <f>IFERROR(__xludf.DUMMYFUNCTION("""COMPUTED_VALUE"""),44931.0)</f>
        <v>44931</v>
      </c>
      <c r="T428" s="70">
        <f>IFERROR(__xludf.DUMMYFUNCTION("""COMPUTED_VALUE"""),0.13013698630136986)</f>
        <v>0.1301369863</v>
      </c>
      <c r="U428" s="71" t="str">
        <f>IFERROR(__xludf.DUMMYFUNCTION("""COMPUTED_VALUE"""),"https://www.sec.gov/cgi-bin/browse-edgar?CIK=1824171")</f>
        <v>https://www.sec.gov/cgi-bin/browse-edgar?CIK=1824171</v>
      </c>
      <c r="V428" s="72" t="str">
        <f>IFERROR(__xludf.DUMMYFUNCTION("""COMPUTED_VALUE""")," Trading Below $10 (Common)          Top Tier UW ")</f>
        <v> Trading Below $10 (Common)          Top Tier UW </v>
      </c>
      <c r="W428" s="73"/>
      <c r="X428" s="74"/>
      <c r="Y428" s="75"/>
      <c r="Z428" s="60"/>
      <c r="AA428" s="60"/>
      <c r="AB428" s="60"/>
      <c r="AC428" s="60"/>
      <c r="AD428" s="73"/>
      <c r="AE428" s="73"/>
      <c r="AF428" s="76"/>
      <c r="AG428" s="60" t="str">
        <f>IFERROR(__xludf.DUMMYFUNCTION("""COMPUTED_VALUE"""),"")</f>
        <v/>
      </c>
    </row>
    <row r="429">
      <c r="A429" s="54" t="str">
        <f>IFERROR(__xludf.DUMMYFUNCTION("""COMPUTED_VALUE"""),"KCAC")</f>
        <v>KCAC</v>
      </c>
      <c r="B429" s="55" t="str">
        <f>IFERROR(__xludf.DUMMYFUNCTION("""COMPUTED_VALUE"""),"Kensington Capital Acquisition Corp. II")</f>
        <v>Kensington Capital Acquisition Corp. II</v>
      </c>
      <c r="C429" s="56" t="str">
        <f>IFERROR(__xludf.DUMMYFUNCTION("""COMPUTED_VALUE"""),"Searching (Pre Unit Split)")</f>
        <v>Searching (Pre Unit Split)</v>
      </c>
      <c r="D429" s="57" t="str">
        <f>IFERROR(__xludf.DUMMYFUNCTION("""COMPUTED_VALUE"""),"Automotive, North America")</f>
        <v>Automotive, North America</v>
      </c>
      <c r="E429" s="58"/>
      <c r="F429" s="59" t="str">
        <f>IFERROR(__xludf.DUMMYFUNCTION("""COMPUTED_VALUE"""),"Justin Mirro (Director, QuantumScape), Thomas LaSorda (Fmr CEO, Chrysler; Fmr CEO, Fisker), Donald Runkle (Fmr CEO, EcoMotors)")</f>
        <v>Justin Mirro (Director, QuantumScape), Thomas LaSorda (Fmr CEO, Chrysler; Fmr CEO, Fisker), Donald Runkle (Fmr CEO, EcoMotors)</v>
      </c>
      <c r="G429" s="60">
        <f>IFERROR(__xludf.DUMMYFUNCTION("""COMPUTED_VALUE"""),2.3E8)</f>
        <v>230000000</v>
      </c>
      <c r="H429" s="60" t="str">
        <f>IFERROR(__xludf.DUMMYFUNCTION("""COMPUTED_VALUE""")," ")</f>
        <v> </v>
      </c>
      <c r="I429" s="61" t="str">
        <f>IFERROR(__xludf.DUMMYFUNCTION("""COMPUTED_VALUE""")," ")</f>
        <v> </v>
      </c>
      <c r="J429" s="62" t="str">
        <f>IFERROR(__xludf.DUMMYFUNCTION("""COMPUTED_VALUE""")," ")</f>
        <v> </v>
      </c>
      <c r="K429" s="59">
        <f>IFERROR(__xludf.DUMMYFUNCTION("""COMPUTED_VALUE"""),10.74)</f>
        <v>10.74</v>
      </c>
      <c r="L429" s="63" t="str">
        <f>IFERROR(__xludf.DUMMYFUNCTION("""COMPUTED_VALUE""")," ")</f>
        <v> </v>
      </c>
      <c r="M429" s="64" t="str">
        <f>IFERROR(__xludf.DUMMYFUNCTION("""COMPUTED_VALUE"""),"U: [1/4 W]; W: [1:1, $11.5]")</f>
        <v>U: [1/4 W]; W: [1:1, $11.5]</v>
      </c>
      <c r="N429" s="65">
        <f>IFERROR(__xludf.DUMMYFUNCTION("""COMPUTED_VALUE"""),44304.0)</f>
        <v>44304</v>
      </c>
      <c r="O429" s="66" t="str">
        <f>IFERROR(__xludf.DUMMYFUNCTION("""COMPUTED_VALUE"""),"")</f>
        <v/>
      </c>
      <c r="P429" s="67">
        <f>IFERROR(__xludf.DUMMYFUNCTION("""COMPUTED_VALUE"""),44252.0)</f>
        <v>44252</v>
      </c>
      <c r="Q429" s="68">
        <f>IFERROR(__xludf.DUMMYFUNCTION("""COMPUTED_VALUE"""),230.0)</f>
        <v>230</v>
      </c>
      <c r="R429" s="69" t="str">
        <f>IFERROR(__xludf.DUMMYFUNCTION("""COMPUTED_VALUE"""),"UBS, Stifel")</f>
        <v>UBS, Stifel</v>
      </c>
      <c r="S429" s="64">
        <f>IFERROR(__xludf.DUMMYFUNCTION("""COMPUTED_VALUE"""),44982.0)</f>
        <v>44982</v>
      </c>
      <c r="T429" s="70">
        <f>IFERROR(__xludf.DUMMYFUNCTION("""COMPUTED_VALUE"""),0.06027397260273973)</f>
        <v>0.0602739726</v>
      </c>
      <c r="U429" s="71" t="str">
        <f>IFERROR(__xludf.DUMMYFUNCTION("""COMPUTED_VALUE"""),"https://www.sec.gov/cgi-bin/browse-edgar?CIK=1841304")</f>
        <v>https://www.sec.gov/cgi-bin/browse-edgar?CIK=1841304</v>
      </c>
      <c r="V429" s="72" t="str">
        <f>IFERROR(__xludf.DUMMYFUNCTION("""COMPUTED_VALUE"""),"            ")</f>
        <v>            </v>
      </c>
      <c r="W429" s="73"/>
      <c r="X429" s="74"/>
      <c r="Y429" s="75"/>
      <c r="Z429" s="60"/>
      <c r="AA429" s="60"/>
      <c r="AB429" s="60"/>
      <c r="AC429" s="60"/>
      <c r="AD429" s="73"/>
      <c r="AE429" s="73"/>
      <c r="AF429" s="76"/>
      <c r="AG429" s="60" t="str">
        <f>IFERROR(__xludf.DUMMYFUNCTION("""COMPUTED_VALUE"""),"")</f>
        <v/>
      </c>
    </row>
    <row r="430">
      <c r="A430" s="54" t="str">
        <f>IFERROR(__xludf.DUMMYFUNCTION("""COMPUTED_VALUE"""),"KETA")</f>
        <v>KETA</v>
      </c>
      <c r="B430" s="55" t="str">
        <f>IFERROR(__xludf.DUMMYFUNCTION("""COMPUTED_VALUE"""),"Keter1 Acquisition Corp")</f>
        <v>Keter1 Acquisition Corp</v>
      </c>
      <c r="C430" s="56" t="str">
        <f>IFERROR(__xludf.DUMMYFUNCTION("""COMPUTED_VALUE"""),"Pre IPO")</f>
        <v>Pre IPO</v>
      </c>
      <c r="D430" s="77" t="str">
        <f>IFERROR(__xludf.DUMMYFUNCTION("""COMPUTED_VALUE"""),"Israel, Tech")</f>
        <v>Israel, Tech</v>
      </c>
      <c r="E430" s="58"/>
      <c r="F430" s="59" t="str">
        <f>IFERROR(__xludf.DUMMYFUNCTION("""COMPUTED_VALUE"""),"Oren Dobronsky (Co-founder, Hotbar.com), Oren Zeev (Founding Partner, Zeev Ventures), Michael Ronen (Fmr MP, Softbank Vision Fund)")</f>
        <v>Oren Dobronsky (Co-founder, Hotbar.com), Oren Zeev (Founding Partner, Zeev Ventures), Michael Ronen (Fmr MP, Softbank Vision Fund)</v>
      </c>
      <c r="G430" s="60">
        <f>IFERROR(__xludf.DUMMYFUNCTION("""COMPUTED_VALUE"""),2.5E8)</f>
        <v>250000000</v>
      </c>
      <c r="H430" s="60" t="str">
        <f>IFERROR(__xludf.DUMMYFUNCTION("""COMPUTED_VALUE""")," ")</f>
        <v> </v>
      </c>
      <c r="I430" s="61" t="str">
        <f>IFERROR(__xludf.DUMMYFUNCTION("""COMPUTED_VALUE""")," ")</f>
        <v> </v>
      </c>
      <c r="J430" s="62" t="str">
        <f>IFERROR(__xludf.DUMMYFUNCTION("""COMPUTED_VALUE""")," ")</f>
        <v> </v>
      </c>
      <c r="K430" s="59" t="str">
        <f>IFERROR(__xludf.DUMMYFUNCTION("""COMPUTED_VALUE""")," ")</f>
        <v> </v>
      </c>
      <c r="L430" s="63" t="str">
        <f>IFERROR(__xludf.DUMMYFUNCTION("""COMPUTED_VALUE""")," ")</f>
        <v> </v>
      </c>
      <c r="M430" s="64" t="str">
        <f>IFERROR(__xludf.DUMMYFUNCTION("""COMPUTED_VALUE"""),"U: [1/3 W]; W: [1:1, $11.5]")</f>
        <v>U: [1/3 W]; W: [1:1, $11.5]</v>
      </c>
      <c r="N430" s="65" t="str">
        <f>IFERROR(__xludf.DUMMYFUNCTION("""COMPUTED_VALUE"""),"")</f>
        <v/>
      </c>
      <c r="O430" s="66">
        <f>IFERROR(__xludf.DUMMYFUNCTION("""COMPUTED_VALUE"""),0.0)</f>
        <v>0</v>
      </c>
      <c r="P430" s="67"/>
      <c r="Q430" s="68">
        <f>IFERROR(__xludf.DUMMYFUNCTION("""COMPUTED_VALUE"""),250.0)</f>
        <v>250</v>
      </c>
      <c r="R430" s="69" t="str">
        <f>IFERROR(__xludf.DUMMYFUNCTION("""COMPUTED_VALUE"""),"Citigroup, Credit Suisse")</f>
        <v>Citigroup, Credit Suisse</v>
      </c>
      <c r="S430" s="64">
        <f>IFERROR(__xludf.DUMMYFUNCTION("""COMPUTED_VALUE"""),45086.0)</f>
        <v>45086</v>
      </c>
      <c r="T430" s="70" t="str">
        <f>IFERROR(__xludf.DUMMYFUNCTION("""COMPUTED_VALUE"""),"")</f>
        <v/>
      </c>
      <c r="U430" s="71" t="str">
        <f>IFERROR(__xludf.DUMMYFUNCTION("""COMPUTED_VALUE"""),"https://www.sec.gov/cgi-bin/browse-edgar?CIK=1843412")</f>
        <v>https://www.sec.gov/cgi-bin/browse-edgar?CIK=1843412</v>
      </c>
      <c r="V430" s="72" t="str">
        <f>IFERROR(__xludf.DUMMYFUNCTION("""COMPUTED_VALUE"""),"           Top Tier UW ")</f>
        <v>           Top Tier UW </v>
      </c>
      <c r="W430" s="73"/>
      <c r="X430" s="74"/>
      <c r="Y430" s="75"/>
      <c r="Z430" s="60"/>
      <c r="AA430" s="60"/>
      <c r="AB430" s="60"/>
      <c r="AC430" s="60"/>
      <c r="AD430" s="73"/>
      <c r="AE430" s="73"/>
      <c r="AF430" s="76"/>
      <c r="AG430" s="60"/>
    </row>
    <row r="431">
      <c r="A431" s="54" t="str">
        <f>IFERROR(__xludf.DUMMYFUNCTION("""COMPUTED_VALUE"""),"KIII")</f>
        <v>KIII</v>
      </c>
      <c r="B431" s="55" t="str">
        <f>IFERROR(__xludf.DUMMYFUNCTION("""COMPUTED_VALUE"""),"Kismet Acquisition Three Corp")</f>
        <v>Kismet Acquisition Three Corp</v>
      </c>
      <c r="C431" s="56" t="str">
        <f>IFERROR(__xludf.DUMMYFUNCTION("""COMPUTED_VALUE"""),"Searching (Pre Unit Split)")</f>
        <v>Searching (Pre Unit Split)</v>
      </c>
      <c r="D431" s="77" t="str">
        <f>IFERROR(__xludf.DUMMYFUNCTION("""COMPUTED_VALUE"""),"Internet, Tech, Europe, Russia (Russian founders)")</f>
        <v>Internet, Tech, Europe, Russia (Russian founders)</v>
      </c>
      <c r="E431" s="58"/>
      <c r="F431" s="59"/>
      <c r="G431" s="60">
        <f>IFERROR(__xludf.DUMMYFUNCTION("""COMPUTED_VALUE"""),2.875E8)</f>
        <v>287500000</v>
      </c>
      <c r="H431" s="60" t="str">
        <f>IFERROR(__xludf.DUMMYFUNCTION("""COMPUTED_VALUE""")," ")</f>
        <v> </v>
      </c>
      <c r="I431" s="61" t="str">
        <f>IFERROR(__xludf.DUMMYFUNCTION("""COMPUTED_VALUE""")," ")</f>
        <v> </v>
      </c>
      <c r="J431" s="62" t="str">
        <f>IFERROR(__xludf.DUMMYFUNCTION("""COMPUTED_VALUE""")," ")</f>
        <v> </v>
      </c>
      <c r="K431" s="59">
        <f>IFERROR(__xludf.DUMMYFUNCTION("""COMPUTED_VALUE"""),9.94)</f>
        <v>9.94</v>
      </c>
      <c r="L431" s="63" t="str">
        <f>IFERROR(__xludf.DUMMYFUNCTION("""COMPUTED_VALUE""")," ")</f>
        <v> </v>
      </c>
      <c r="M431" s="64" t="str">
        <f>IFERROR(__xludf.DUMMYFUNCTION("""COMPUTED_VALUE"""),"U: [1/3 W]; W: [1:1, $11.5]")</f>
        <v>U: [1/3 W]; W: [1:1, $11.5]</v>
      </c>
      <c r="N431" s="65">
        <f>IFERROR(__xludf.DUMMYFUNCTION("""COMPUTED_VALUE"""),44296.0)</f>
        <v>44296</v>
      </c>
      <c r="O431" s="66" t="str">
        <f>IFERROR(__xludf.DUMMYFUNCTION("""COMPUTED_VALUE"""),"")</f>
        <v/>
      </c>
      <c r="P431" s="67">
        <f>IFERROR(__xludf.DUMMYFUNCTION("""COMPUTED_VALUE"""),44244.0)</f>
        <v>44244</v>
      </c>
      <c r="Q431" s="68">
        <f>IFERROR(__xludf.DUMMYFUNCTION("""COMPUTED_VALUE"""),287.5)</f>
        <v>287.5</v>
      </c>
      <c r="R431" s="69" t="str">
        <f>IFERROR(__xludf.DUMMYFUNCTION("""COMPUTED_VALUE"""),"Credit Suisse, Citigroup, BofA Securities")</f>
        <v>Credit Suisse, Citigroup, BofA Securities</v>
      </c>
      <c r="S431" s="64">
        <f>IFERROR(__xludf.DUMMYFUNCTION("""COMPUTED_VALUE"""),44974.0)</f>
        <v>44974</v>
      </c>
      <c r="T431" s="70">
        <f>IFERROR(__xludf.DUMMYFUNCTION("""COMPUTED_VALUE"""),0.07123287671232877)</f>
        <v>0.07123287671</v>
      </c>
      <c r="U431" s="71" t="str">
        <f>IFERROR(__xludf.DUMMYFUNCTION("""COMPUTED_VALUE"""),"https://www.sec.gov/cgi-bin/browse-edgar?CIK=1826059")</f>
        <v>https://www.sec.gov/cgi-bin/browse-edgar?CIK=1826059</v>
      </c>
      <c r="V431" s="72" t="str">
        <f>IFERROR(__xludf.DUMMYFUNCTION("""COMPUTED_VALUE"""),"          Serial Sponsor Top Tier UW ")</f>
        <v>          Serial Sponsor Top Tier UW </v>
      </c>
      <c r="W431" s="73"/>
      <c r="X431" s="74"/>
      <c r="Y431" s="75"/>
      <c r="Z431" s="60"/>
      <c r="AA431" s="60"/>
      <c r="AB431" s="60"/>
      <c r="AC431" s="60"/>
      <c r="AD431" s="73"/>
      <c r="AE431" s="73"/>
      <c r="AF431" s="76"/>
      <c r="AG431" s="60" t="str">
        <f>IFERROR(__xludf.DUMMYFUNCTION("""COMPUTED_VALUE"""),"")</f>
        <v/>
      </c>
    </row>
    <row r="432">
      <c r="A432" s="54" t="str">
        <f>IFERROR(__xludf.DUMMYFUNCTION("""COMPUTED_VALUE"""),"KINZ")</f>
        <v>KINZ</v>
      </c>
      <c r="B432" s="55" t="str">
        <f>IFERROR(__xludf.DUMMYFUNCTION("""COMPUTED_VALUE"""),"KINS Technology Group Inc.")</f>
        <v>KINS Technology Group Inc.</v>
      </c>
      <c r="C432" s="56" t="str">
        <f>IFERROR(__xludf.DUMMYFUNCTION("""COMPUTED_VALUE"""),"Searching")</f>
        <v>Searching</v>
      </c>
      <c r="D432" s="77" t="str">
        <f>IFERROR(__xludf.DUMMYFUNCTION("""COMPUTED_VALUE"""),"Tech")</f>
        <v>Tech</v>
      </c>
      <c r="E432" s="58"/>
      <c r="F432" s="59" t="str">
        <f>IFERROR(__xludf.DUMMYFUNCTION("""COMPUTED_VALUE"""),"Khurram Sheikh (Former CTO, Powerwave Technologies), Hassan Ahmed (Former CEO, Affirmed Networks), Di-Ann Eisnor (Co-founder/CEO, Core), Camillo Martino (Chairman, MagnaChip Semiconductor), Allen Salmasi (CEO, Veea; Fmr CEO, NextWave Wireless)")</f>
        <v>Khurram Sheikh (Former CTO, Powerwave Technologies), Hassan Ahmed (Former CEO, Affirmed Networks), Di-Ann Eisnor (Co-founder/CEO, Core), Camillo Martino (Chairman, MagnaChip Semiconductor), Allen Salmasi (CEO, Veea; Fmr CEO, NextWave Wireless)</v>
      </c>
      <c r="G432" s="60">
        <f>IFERROR(__xludf.DUMMYFUNCTION("""COMPUTED_VALUE"""),2.4E8)</f>
        <v>240000000</v>
      </c>
      <c r="H432" s="60">
        <f>IFERROR(__xludf.DUMMYFUNCTION("""COMPUTED_VALUE"""),2.74896E8)</f>
        <v>274896000</v>
      </c>
      <c r="I432" s="61">
        <f>IFERROR(__xludf.DUMMYFUNCTION("""COMPUTED_VALUE"""),9.96)</f>
        <v>9.96</v>
      </c>
      <c r="J432" s="62">
        <f>IFERROR(__xludf.DUMMYFUNCTION("""COMPUTED_VALUE"""),0.00606)</f>
        <v>0.00606</v>
      </c>
      <c r="K432" s="59">
        <f>IFERROR(__xludf.DUMMYFUNCTION("""COMPUTED_VALUE"""),10.28)</f>
        <v>10.28</v>
      </c>
      <c r="L432" s="63">
        <f>IFERROR(__xludf.DUMMYFUNCTION("""COMPUTED_VALUE"""),0.81)</f>
        <v>0.81</v>
      </c>
      <c r="M432" s="64" t="str">
        <f>IFERROR(__xludf.DUMMYFUNCTION("""COMPUTED_VALUE"""),"U: [1/2 W]; W: [1:1, $11.5]")</f>
        <v>U: [1/2 W]; W: [1:1, $11.5]</v>
      </c>
      <c r="N432" s="65" t="str">
        <f>IFERROR(__xludf.DUMMYFUNCTION("""COMPUTED_VALUE"""),"")</f>
        <v/>
      </c>
      <c r="O432" s="66">
        <f>IFERROR(__xludf.DUMMYFUNCTION("""COMPUTED_VALUE"""),0.0)</f>
        <v>0</v>
      </c>
      <c r="P432" s="67">
        <f>IFERROR(__xludf.DUMMYFUNCTION("""COMPUTED_VALUE"""),44180.0)</f>
        <v>44180</v>
      </c>
      <c r="Q432" s="68">
        <f>IFERROR(__xludf.DUMMYFUNCTION("""COMPUTED_VALUE"""),240.0)</f>
        <v>240</v>
      </c>
      <c r="R432" s="85" t="str">
        <f>IFERROR(__xludf.DUMMYFUNCTION("""COMPUTED_VALUE"""),"JMP Securities, UBS, Stifel")</f>
        <v>JMP Securities, UBS, Stifel</v>
      </c>
      <c r="S432" s="64">
        <f>IFERROR(__xludf.DUMMYFUNCTION("""COMPUTED_VALUE"""),44910.0)</f>
        <v>44910</v>
      </c>
      <c r="T432" s="70">
        <f>IFERROR(__xludf.DUMMYFUNCTION("""COMPUTED_VALUE"""),0.1589041095890411)</f>
        <v>0.1589041096</v>
      </c>
      <c r="U432" s="71" t="str">
        <f>IFERROR(__xludf.DUMMYFUNCTION("""COMPUTED_VALUE"""),"https://www.sec.gov/cgi-bin/browse-edgar?CIK=1820875")</f>
        <v>https://www.sec.gov/cgi-bin/browse-edgar?CIK=1820875</v>
      </c>
      <c r="V432" s="72" t="str">
        <f>IFERROR(__xludf.DUMMYFUNCTION("""COMPUTED_VALUE""")," Trading Below $10 (Common)           ")</f>
        <v> Trading Below $10 (Common)           </v>
      </c>
      <c r="W432" s="73"/>
      <c r="X432" s="74"/>
      <c r="Y432" s="75"/>
      <c r="Z432" s="60"/>
      <c r="AA432" s="60"/>
      <c r="AB432" s="60"/>
      <c r="AC432" s="60"/>
      <c r="AD432" s="73"/>
      <c r="AE432" s="73"/>
      <c r="AF432" s="76"/>
      <c r="AG432" s="60" t="str">
        <f>IFERROR(__xludf.DUMMYFUNCTION("""COMPUTED_VALUE"""),"")</f>
        <v/>
      </c>
    </row>
    <row r="433">
      <c r="A433" s="54" t="str">
        <f>IFERROR(__xludf.DUMMYFUNCTION("""COMPUTED_VALUE"""),"KLAQ")</f>
        <v>KLAQ</v>
      </c>
      <c r="B433" s="55" t="str">
        <f>IFERROR(__xludf.DUMMYFUNCTION("""COMPUTED_VALUE"""),"KL Acquisition Corp")</f>
        <v>KL Acquisition Corp</v>
      </c>
      <c r="C433" s="56" t="str">
        <f>IFERROR(__xludf.DUMMYFUNCTION("""COMPUTED_VALUE"""),"Searching")</f>
        <v>Searching</v>
      </c>
      <c r="D433" s="77" t="str">
        <f>IFERROR(__xludf.DUMMYFUNCTION("""COMPUTED_VALUE"""),"Healthcare")</f>
        <v>Healthcare</v>
      </c>
      <c r="E433" s="58"/>
      <c r="F433" s="59"/>
      <c r="G433" s="60">
        <f>IFERROR(__xludf.DUMMYFUNCTION("""COMPUTED_VALUE"""),2.875E8)</f>
        <v>287500000</v>
      </c>
      <c r="H433" s="60">
        <f>IFERROR(__xludf.DUMMYFUNCTION("""COMPUTED_VALUE"""),2.837625E8)</f>
        <v>283762500</v>
      </c>
      <c r="I433" s="61">
        <f>IFERROR(__xludf.DUMMYFUNCTION("""COMPUTED_VALUE"""),9.87)</f>
        <v>9.87</v>
      </c>
      <c r="J433" s="62">
        <f>IFERROR(__xludf.DUMMYFUNCTION("""COMPUTED_VALUE"""),0.01439)</f>
        <v>0.01439</v>
      </c>
      <c r="K433" s="59">
        <f>IFERROR(__xludf.DUMMYFUNCTION("""COMPUTED_VALUE"""),10.09)</f>
        <v>10.09</v>
      </c>
      <c r="L433" s="63">
        <f>IFERROR(__xludf.DUMMYFUNCTION("""COMPUTED_VALUE"""),0.69)</f>
        <v>0.69</v>
      </c>
      <c r="M433" s="64" t="str">
        <f>IFERROR(__xludf.DUMMYFUNCTION("""COMPUTED_VALUE"""),"U: [1/3 W]; W: [1:1, $11.5]")</f>
        <v>U: [1/3 W]; W: [1:1, $11.5]</v>
      </c>
      <c r="N433" s="65">
        <f>IFERROR(__xludf.DUMMYFUNCTION("""COMPUTED_VALUE"""),44256.0)</f>
        <v>44256</v>
      </c>
      <c r="O433" s="66">
        <f>IFERROR(__xludf.DUMMYFUNCTION("""COMPUTED_VALUE"""),0.0)</f>
        <v>0</v>
      </c>
      <c r="P433" s="67">
        <f>IFERROR(__xludf.DUMMYFUNCTION("""COMPUTED_VALUE"""),44203.0)</f>
        <v>44203</v>
      </c>
      <c r="Q433" s="68">
        <f>IFERROR(__xludf.DUMMYFUNCTION("""COMPUTED_VALUE"""),287.5)</f>
        <v>287.5</v>
      </c>
      <c r="R433" s="69" t="str">
        <f>IFERROR(__xludf.DUMMYFUNCTION("""COMPUTED_VALUE"""),"Goldman Sachs")</f>
        <v>Goldman Sachs</v>
      </c>
      <c r="S433" s="64">
        <f>IFERROR(__xludf.DUMMYFUNCTION("""COMPUTED_VALUE"""),44933.0)</f>
        <v>44933</v>
      </c>
      <c r="T433" s="70">
        <f>IFERROR(__xludf.DUMMYFUNCTION("""COMPUTED_VALUE"""),0.1273972602739726)</f>
        <v>0.1273972603</v>
      </c>
      <c r="U433" s="71" t="str">
        <f>IFERROR(__xludf.DUMMYFUNCTION("""COMPUTED_VALUE"""),"https://www.sec.gov/cgi-bin/browse-edgar?CIK=1823323")</f>
        <v>https://www.sec.gov/cgi-bin/browse-edgar?CIK=1823323</v>
      </c>
      <c r="V433" s="72" t="str">
        <f>IFERROR(__xludf.DUMMYFUNCTION("""COMPUTED_VALUE""")," Trading Below $10 (Common)          Top Tier UW ")</f>
        <v> Trading Below $10 (Common)          Top Tier UW </v>
      </c>
      <c r="W433" s="73"/>
      <c r="X433" s="74"/>
      <c r="Y433" s="75"/>
      <c r="Z433" s="60"/>
      <c r="AA433" s="60"/>
      <c r="AB433" s="60"/>
      <c r="AC433" s="60"/>
      <c r="AD433" s="73"/>
      <c r="AE433" s="73"/>
      <c r="AF433" s="76"/>
      <c r="AG433" s="60" t="str">
        <f>IFERROR(__xludf.DUMMYFUNCTION("""COMPUTED_VALUE"""),"")</f>
        <v/>
      </c>
    </row>
    <row r="434">
      <c r="A434" s="54" t="str">
        <f>IFERROR(__xludf.DUMMYFUNCTION("""COMPUTED_VALUE"""),"KRNL")</f>
        <v>KRNL</v>
      </c>
      <c r="B434" s="55" t="str">
        <f>IFERROR(__xludf.DUMMYFUNCTION("""COMPUTED_VALUE"""),"Kernel Group Holdings, Inc.")</f>
        <v>Kernel Group Holdings, Inc.</v>
      </c>
      <c r="C434" s="56" t="str">
        <f>IFERROR(__xludf.DUMMYFUNCTION("""COMPUTED_VALUE"""),"Searching")</f>
        <v>Searching</v>
      </c>
      <c r="D434" s="77" t="str">
        <f>IFERROR(__xludf.DUMMYFUNCTION("""COMPUTED_VALUE"""),"Commerce Enablement, Supply Chain, Logistics and related Technology Infrastructure")</f>
        <v>Commerce Enablement, Supply Chain, Logistics and related Technology Infrastructure</v>
      </c>
      <c r="E434" s="58"/>
      <c r="F434" s="59" t="str">
        <f>IFERROR(__xludf.DUMMYFUNCTION("""COMPUTED_VALUE"""),"Mark Gross (Fmr CEO, Supervalu), Vivek Paul (Fmr CEO, Wipro Technologies), Ron Meyer (Fmr COO, Universal Studios; Fmr Vice Chairman, NBCUniversal)")</f>
        <v>Mark Gross (Fmr CEO, Supervalu), Vivek Paul (Fmr CEO, Wipro Technologies), Ron Meyer (Fmr COO, Universal Studios; Fmr Vice Chairman, NBCUniversal)</v>
      </c>
      <c r="G434" s="60">
        <f>IFERROR(__xludf.DUMMYFUNCTION("""COMPUTED_VALUE"""),3.0475E8)</f>
        <v>304750000</v>
      </c>
      <c r="H434" s="60">
        <f>IFERROR(__xludf.DUMMYFUNCTION("""COMPUTED_VALUE"""),3.0078825E8)</f>
        <v>300788250</v>
      </c>
      <c r="I434" s="61">
        <f>IFERROR(__xludf.DUMMYFUNCTION("""COMPUTED_VALUE"""),9.87)</f>
        <v>9.87</v>
      </c>
      <c r="J434" s="62">
        <f>IFERROR(__xludf.DUMMYFUNCTION("""COMPUTED_VALUE"""),-0.00804)</f>
        <v>-0.00804</v>
      </c>
      <c r="K434" s="59">
        <f>IFERROR(__xludf.DUMMYFUNCTION("""COMPUTED_VALUE"""),10.12)</f>
        <v>10.12</v>
      </c>
      <c r="L434" s="63">
        <f>IFERROR(__xludf.DUMMYFUNCTION("""COMPUTED_VALUE"""),0.655)</f>
        <v>0.655</v>
      </c>
      <c r="M434" s="64" t="str">
        <f>IFERROR(__xludf.DUMMYFUNCTION("""COMPUTED_VALUE"""),"U: [1/2 W]; W: [1:1, $11.5]")</f>
        <v>U: [1/2 W]; W: [1:1, $11.5]</v>
      </c>
      <c r="N434" s="65" t="str">
        <f>IFERROR(__xludf.DUMMYFUNCTION("""COMPUTED_VALUE"""),"")</f>
        <v/>
      </c>
      <c r="O434" s="66">
        <f>IFERROR(__xludf.DUMMYFUNCTION("""COMPUTED_VALUE"""),0.0)</f>
        <v>0</v>
      </c>
      <c r="P434" s="67">
        <f>IFERROR(__xludf.DUMMYFUNCTION("""COMPUTED_VALUE"""),44229.0)</f>
        <v>44229</v>
      </c>
      <c r="Q434" s="68">
        <f>IFERROR(__xludf.DUMMYFUNCTION("""COMPUTED_VALUE"""),304.75)</f>
        <v>304.75</v>
      </c>
      <c r="R434" s="69" t="str">
        <f>IFERROR(__xludf.DUMMYFUNCTION("""COMPUTED_VALUE"""),"Citigroup")</f>
        <v>Citigroup</v>
      </c>
      <c r="S434" s="64">
        <f>IFERROR(__xludf.DUMMYFUNCTION("""COMPUTED_VALUE"""),44959.0)</f>
        <v>44959</v>
      </c>
      <c r="T434" s="70">
        <f>IFERROR(__xludf.DUMMYFUNCTION("""COMPUTED_VALUE"""),0.09178082191780822)</f>
        <v>0.09178082192</v>
      </c>
      <c r="U434" s="71" t="str">
        <f>IFERROR(__xludf.DUMMYFUNCTION("""COMPUTED_VALUE"""),"https://www.sec.gov/cgi-bin/browse-edgar?CIK=1832950")</f>
        <v>https://www.sec.gov/cgi-bin/browse-edgar?CIK=1832950</v>
      </c>
      <c r="V434" s="72" t="str">
        <f>IFERROR(__xludf.DUMMYFUNCTION("""COMPUTED_VALUE""")," Trading Below $10 (Common)          Top Tier UW ")</f>
        <v> Trading Below $10 (Common)          Top Tier UW </v>
      </c>
      <c r="W434" s="73"/>
      <c r="X434" s="74"/>
      <c r="Y434" s="75"/>
      <c r="Z434" s="60"/>
      <c r="AA434" s="60"/>
      <c r="AB434" s="60"/>
      <c r="AC434" s="60"/>
      <c r="AD434" s="73"/>
      <c r="AE434" s="73"/>
      <c r="AF434" s="76"/>
      <c r="AG434" s="60" t="str">
        <f>IFERROR(__xludf.DUMMYFUNCTION("""COMPUTED_VALUE"""),"")</f>
        <v/>
      </c>
    </row>
    <row r="435">
      <c r="A435" s="54" t="str">
        <f>IFERROR(__xludf.DUMMYFUNCTION("""COMPUTED_VALUE"""),"KSI")</f>
        <v>KSI</v>
      </c>
      <c r="B435" s="55" t="str">
        <f>IFERROR(__xludf.DUMMYFUNCTION("""COMPUTED_VALUE"""),"Kadem Sustainable Impact Corp")</f>
        <v>Kadem Sustainable Impact Corp</v>
      </c>
      <c r="C435" s="56" t="str">
        <f>IFERROR(__xludf.DUMMYFUNCTION("""COMPUTED_VALUE"""),"Searching (Pre Unit Split)")</f>
        <v>Searching (Pre Unit Split)</v>
      </c>
      <c r="D435" s="77" t="str">
        <f>IFERROR(__xludf.DUMMYFUNCTION("""COMPUTED_VALUE"""),"E.V., Energy storage &amp; distribution, mobility tech, Sustainability")</f>
        <v>E.V., Energy storage &amp; distribution, mobility tech, Sustainability</v>
      </c>
      <c r="E435" s="58"/>
      <c r="F435" s="59" t="str">
        <f>IFERROR(__xludf.DUMMYFUNCTION("""COMPUTED_VALUE"""),"Ray Maybus (Former US Secretary of the Navy; Director, Hilton Worldwide)")</f>
        <v>Ray Maybus (Former US Secretary of the Navy; Director, Hilton Worldwide)</v>
      </c>
      <c r="G435" s="60">
        <f>IFERROR(__xludf.DUMMYFUNCTION("""COMPUTED_VALUE"""),1.75E8)</f>
        <v>175000000</v>
      </c>
      <c r="H435" s="60" t="str">
        <f>IFERROR(__xludf.DUMMYFUNCTION("""COMPUTED_VALUE""")," ")</f>
        <v> </v>
      </c>
      <c r="I435" s="61" t="str">
        <f>IFERROR(__xludf.DUMMYFUNCTION("""COMPUTED_VALUE""")," ")</f>
        <v> </v>
      </c>
      <c r="J435" s="62" t="str">
        <f>IFERROR(__xludf.DUMMYFUNCTION("""COMPUTED_VALUE""")," ")</f>
        <v> </v>
      </c>
      <c r="K435" s="59" t="str">
        <f>IFERROR(__xludf.DUMMYFUNCTION("""COMPUTED_VALUE""")," ")</f>
        <v> </v>
      </c>
      <c r="L435" s="63" t="str">
        <f>IFERROR(__xludf.DUMMYFUNCTION("""COMPUTED_VALUE""")," ")</f>
        <v> </v>
      </c>
      <c r="M435" s="86" t="str">
        <f>IFERROR(__xludf.DUMMYFUNCTION("""COMPUTED_VALUE"""),"U: [1/2 W]; W: [1:1, $11.5]")</f>
        <v>U: [1/2 W]; W: [1:1, $11.5]</v>
      </c>
      <c r="N435" s="65">
        <f>IFERROR(__xludf.DUMMYFUNCTION("""COMPUTED_VALUE"""),44323.0)</f>
        <v>44323</v>
      </c>
      <c r="O435" s="66">
        <f>IFERROR(__xludf.DUMMYFUNCTION("""COMPUTED_VALUE"""),0.0)</f>
        <v>0</v>
      </c>
      <c r="P435" s="67">
        <f>IFERROR(__xludf.DUMMYFUNCTION("""COMPUTED_VALUE"""),44271.0)</f>
        <v>44271</v>
      </c>
      <c r="Q435" s="68">
        <f>IFERROR(__xludf.DUMMYFUNCTION("""COMPUTED_VALUE"""),175.0)</f>
        <v>175</v>
      </c>
      <c r="R435" s="69" t="str">
        <f>IFERROR(__xludf.DUMMYFUNCTION("""COMPUTED_VALUE"""),"BMO Capital Markets, Academy Securities, AmeriVet Securities")</f>
        <v>BMO Capital Markets, Academy Securities, AmeriVet Securities</v>
      </c>
      <c r="S435" s="64">
        <f>IFERROR(__xludf.DUMMYFUNCTION("""COMPUTED_VALUE"""),45001.0)</f>
        <v>45001</v>
      </c>
      <c r="T435" s="70">
        <f>IFERROR(__xludf.DUMMYFUNCTION("""COMPUTED_VALUE"""),0.03424657534246575)</f>
        <v>0.03424657534</v>
      </c>
      <c r="U435" s="71" t="str">
        <f>IFERROR(__xludf.DUMMYFUNCTION("""COMPUTED_VALUE"""),"https://www.sec.gov/cgi-bin/browse-edgar?CIK=1843351")</f>
        <v>https://www.sec.gov/cgi-bin/browse-edgar?CIK=1843351</v>
      </c>
      <c r="V435" s="72" t="str">
        <f>IFERROR(__xludf.DUMMYFUNCTION("""COMPUTED_VALUE"""),"            ")</f>
        <v>            </v>
      </c>
      <c r="W435" s="73"/>
      <c r="X435" s="74"/>
      <c r="Y435" s="75"/>
      <c r="Z435" s="60"/>
      <c r="AA435" s="60"/>
      <c r="AB435" s="60"/>
      <c r="AC435" s="60"/>
      <c r="AD435" s="73"/>
      <c r="AE435" s="73"/>
      <c r="AF435" s="76"/>
      <c r="AG435" s="60"/>
    </row>
    <row r="436">
      <c r="A436" s="54" t="str">
        <f>IFERROR(__xludf.DUMMYFUNCTION("""COMPUTED_VALUE"""),"KSMT")</f>
        <v>KSMT</v>
      </c>
      <c r="B436" s="55" t="str">
        <f>IFERROR(__xludf.DUMMYFUNCTION("""COMPUTED_VALUE"""),"Kismet Acquisition One Corp")</f>
        <v>Kismet Acquisition One Corp</v>
      </c>
      <c r="C436" s="56" t="str">
        <f>IFERROR(__xludf.DUMMYFUNCTION("""COMPUTED_VALUE"""),"Definitive Agreement")</f>
        <v>Definitive Agreement</v>
      </c>
      <c r="D436" s="57" t="str">
        <f>IFERROR(__xludf.DUMMYFUNCTION("""COMPUTED_VALUE"""),"Russia")</f>
        <v>Russia</v>
      </c>
      <c r="E436" s="58" t="str">
        <f>IFERROR(__xludf.DUMMYFUNCTION("""COMPUTED_VALUE"""),"Nexters Global [DA: 02/01/21]")</f>
        <v>Nexters Global [DA: 02/01/21]</v>
      </c>
      <c r="F436" s="59"/>
      <c r="G436" s="60">
        <f>IFERROR(__xludf.DUMMYFUNCTION("""COMPUTED_VALUE"""),2.50064076E8)</f>
        <v>250064076</v>
      </c>
      <c r="H436" s="60">
        <f>IFERROR(__xludf.DUMMYFUNCTION("""COMPUTED_VALUE"""),3.146425E8)</f>
        <v>314642500</v>
      </c>
      <c r="I436" s="61">
        <f>IFERROR(__xludf.DUMMYFUNCTION("""COMPUTED_VALUE"""),9.91)</f>
        <v>9.91</v>
      </c>
      <c r="J436" s="62">
        <f>IFERROR(__xludf.DUMMYFUNCTION("""COMPUTED_VALUE"""),-0.00201)</f>
        <v>-0.00201</v>
      </c>
      <c r="K436" s="59">
        <f>IFERROR(__xludf.DUMMYFUNCTION("""COMPUTED_VALUE"""),10.12)</f>
        <v>10.12</v>
      </c>
      <c r="L436" s="63">
        <f>IFERROR(__xludf.DUMMYFUNCTION("""COMPUTED_VALUE"""),0.76)</f>
        <v>0.76</v>
      </c>
      <c r="M436" s="64" t="str">
        <f>IFERROR(__xludf.DUMMYFUNCTION("""COMPUTED_VALUE"""),"U: [1/2 W]; W: [1:1, $11.5]")</f>
        <v>U: [1/2 W]; W: [1:1, $11.5]</v>
      </c>
      <c r="N436" s="65" t="str">
        <f>IFERROR(__xludf.DUMMYFUNCTION("""COMPUTED_VALUE"""),"")</f>
        <v/>
      </c>
      <c r="O436" s="66">
        <f>IFERROR(__xludf.DUMMYFUNCTION("""COMPUTED_VALUE"""),0.0)</f>
        <v>0</v>
      </c>
      <c r="P436" s="67">
        <f>IFERROR(__xludf.DUMMYFUNCTION("""COMPUTED_VALUE"""),44048.0)</f>
        <v>44048</v>
      </c>
      <c r="Q436" s="68">
        <f>IFERROR(__xludf.DUMMYFUNCTION("""COMPUTED_VALUE"""),250.0)</f>
        <v>250</v>
      </c>
      <c r="R436" s="85" t="str">
        <f>IFERROR(__xludf.DUMMYFUNCTION("""COMPUTED_VALUE"""),"Credit Suisse, BofA Securities")</f>
        <v>Credit Suisse, BofA Securities</v>
      </c>
      <c r="S436" s="64">
        <f>IFERROR(__xludf.DUMMYFUNCTION("""COMPUTED_VALUE"""),44778.0)</f>
        <v>44778</v>
      </c>
      <c r="T436" s="70">
        <f>IFERROR(__xludf.DUMMYFUNCTION("""COMPUTED_VALUE"""),0.33972602739726027)</f>
        <v>0.3397260274</v>
      </c>
      <c r="U436" s="71" t="str">
        <f>IFERROR(__xludf.DUMMYFUNCTION("""COMPUTED_VALUE"""),"https://www.sec.gov/cgi-bin/browse-edgar?CIK=1814824")</f>
        <v>https://www.sec.gov/cgi-bin/browse-edgar?CIK=1814824</v>
      </c>
      <c r="V436" s="72" t="str">
        <f>IFERROR(__xludf.DUMMYFUNCTION("""COMPUTED_VALUE""")," Trading Below $10 (Common)         Serial Sponsor Top Tier UW ")</f>
        <v> Trading Below $10 (Common)         Serial Sponsor Top Tier UW </v>
      </c>
      <c r="W436" s="73">
        <f>IFERROR(__xludf.DUMMYFUNCTION("""COMPUTED_VALUE"""),44228.0)</f>
        <v>44228</v>
      </c>
      <c r="X436" s="79">
        <f>IFERROR(__xludf.DUMMYFUNCTION("""COMPUTED_VALUE"""),6.0)</f>
        <v>6</v>
      </c>
      <c r="Y436" s="80" t="str">
        <f>IFERROR(__xludf.DUMMYFUNCTION("""COMPUTED_VALUE"""),"https://www.businesswire.com/news/home/20210201005420/en/Nexters-Global-the-Owner-of-Blockbuster-Mobile-Game-Hero-Wars-to-Go-Public-Via-Merger-With-Kismet-Acquisition-One-SPAC")</f>
        <v>https://www.businesswire.com/news/home/20210201005420/en/Nexters-Global-the-Owner-of-Blockbuster-Mobile-Game-Hero-Wars-to-Go-Public-Via-Merger-With-Kismet-Acquisition-One-SPAC</v>
      </c>
      <c r="Z436" s="81" t="str">
        <f>IFERROR(__xludf.DUMMYFUNCTION("""COMPUTED_VALUE"""),"https://www.sec.gov/Archives/edgar/data/1814824/000121390021005589/ea134294ex99-2_kismet.htm")</f>
        <v>https://www.sec.gov/Archives/edgar/data/1814824/000121390021005589/ea134294ex99-2_kismet.htm</v>
      </c>
      <c r="AA436" s="60"/>
      <c r="AB436" s="60">
        <f>IFERROR(__xludf.DUMMYFUNCTION("""COMPUTED_VALUE"""),2.05E9)</f>
        <v>2050000000</v>
      </c>
      <c r="AC436" s="60">
        <f>IFERROR(__xludf.DUMMYFUNCTION("""COMPUTED_VALUE"""),1.9E9)</f>
        <v>1900000000</v>
      </c>
      <c r="AD436" s="73"/>
      <c r="AE436" s="73"/>
      <c r="AF436" s="76">
        <f>IFERROR(__xludf.DUMMYFUNCTION("""COMPUTED_VALUE"""),2.05E8)</f>
        <v>205000000</v>
      </c>
      <c r="AG436" s="60">
        <f>IFERROR(__xludf.DUMMYFUNCTION("""COMPUTED_VALUE"""),2.03155E9)</f>
        <v>2031550000</v>
      </c>
    </row>
    <row r="437">
      <c r="A437" s="54" t="str">
        <f>IFERROR(__xludf.DUMMYFUNCTION("""COMPUTED_VALUE"""),"KURI")</f>
        <v>KURI</v>
      </c>
      <c r="B437" s="55" t="str">
        <f>IFERROR(__xludf.DUMMYFUNCTION("""COMPUTED_VALUE"""),"Alkuri Global Acquisition Corp.")</f>
        <v>Alkuri Global Acquisition Corp.</v>
      </c>
      <c r="C437" s="56" t="str">
        <f>IFERROR(__xludf.DUMMYFUNCTION("""COMPUTED_VALUE"""),"Searching")</f>
        <v>Searching</v>
      </c>
      <c r="D437" s="57" t="str">
        <f>IFERROR(__xludf.DUMMYFUNCTION("""COMPUTED_VALUE"""),"Consumer Internet and Marketplaces, Healthtech, Fintech, Mobility")</f>
        <v>Consumer Internet and Marketplaces, Healthtech, Fintech, Mobility</v>
      </c>
      <c r="E437" s="58"/>
      <c r="F437" s="59" t="str">
        <f>IFERROR(__xludf.DUMMYFUNCTION("""COMPUTED_VALUE"""),"Rich Williams (Fmr CEO, Groupon), Sultan Almaadeed (Founder, ENVST), Jonathan Huberman (CEO, SAQN/SAII)")</f>
        <v>Rich Williams (Fmr CEO, Groupon), Sultan Almaadeed (Founder, ENVST), Jonathan Huberman (CEO, SAQN/SAII)</v>
      </c>
      <c r="G437" s="60">
        <f>IFERROR(__xludf.DUMMYFUNCTION("""COMPUTED_VALUE"""),3.45E8)</f>
        <v>345000000</v>
      </c>
      <c r="H437" s="60">
        <f>IFERROR(__xludf.DUMMYFUNCTION("""COMPUTED_VALUE"""),3.41205E8)</f>
        <v>341205000</v>
      </c>
      <c r="I437" s="61">
        <f>IFERROR(__xludf.DUMMYFUNCTION("""COMPUTED_VALUE"""),9.89)</f>
        <v>9.89</v>
      </c>
      <c r="J437" s="62">
        <f>IFERROR(__xludf.DUMMYFUNCTION("""COMPUTED_VALUE"""),0.00983)</f>
        <v>0.00983</v>
      </c>
      <c r="K437" s="59">
        <f>IFERROR(__xludf.DUMMYFUNCTION("""COMPUTED_VALUE"""),10.02)</f>
        <v>10.02</v>
      </c>
      <c r="L437" s="63">
        <f>IFERROR(__xludf.DUMMYFUNCTION("""COMPUTED_VALUE"""),0.88)</f>
        <v>0.88</v>
      </c>
      <c r="M437" s="64" t="str">
        <f>IFERROR(__xludf.DUMMYFUNCTION("""COMPUTED_VALUE"""),"U: [1/4 W]; W: [1:1, $11.5]")</f>
        <v>U: [1/4 W]; W: [1:1, $11.5]</v>
      </c>
      <c r="N437" s="65" t="str">
        <f>IFERROR(__xludf.DUMMYFUNCTION("""COMPUTED_VALUE"""),"")</f>
        <v/>
      </c>
      <c r="O437" s="66">
        <f>IFERROR(__xludf.DUMMYFUNCTION("""COMPUTED_VALUE"""),0.0)</f>
        <v>0</v>
      </c>
      <c r="P437" s="67">
        <f>IFERROR(__xludf.DUMMYFUNCTION("""COMPUTED_VALUE"""),44232.0)</f>
        <v>44232</v>
      </c>
      <c r="Q437" s="68">
        <f>IFERROR(__xludf.DUMMYFUNCTION("""COMPUTED_VALUE"""),345.0)</f>
        <v>345</v>
      </c>
      <c r="R437" s="69" t="str">
        <f>IFERROR(__xludf.DUMMYFUNCTION("""COMPUTED_VALUE"""),"Jefferies")</f>
        <v>Jefferies</v>
      </c>
      <c r="S437" s="64">
        <f>IFERROR(__xludf.DUMMYFUNCTION("""COMPUTED_VALUE"""),44962.0)</f>
        <v>44962</v>
      </c>
      <c r="T437" s="70">
        <f>IFERROR(__xludf.DUMMYFUNCTION("""COMPUTED_VALUE"""),0.08767123287671233)</f>
        <v>0.08767123288</v>
      </c>
      <c r="U437" s="71" t="str">
        <f>IFERROR(__xludf.DUMMYFUNCTION("""COMPUTED_VALUE"""),"https://www.sec.gov/cgi-bin/browse-edgar?CIK=1836967")</f>
        <v>https://www.sec.gov/cgi-bin/browse-edgar?CIK=1836967</v>
      </c>
      <c r="V437" s="72" t="str">
        <f>IFERROR(__xludf.DUMMYFUNCTION("""COMPUTED_VALUE""")," Trading Below $10 (Common)        Well-known Sponsor   ")</f>
        <v> Trading Below $10 (Common)        Well-known Sponsor   </v>
      </c>
      <c r="W437" s="73"/>
      <c r="X437" s="74"/>
      <c r="Y437" s="75"/>
      <c r="Z437" s="60"/>
      <c r="AA437" s="60"/>
      <c r="AB437" s="60"/>
      <c r="AC437" s="60"/>
      <c r="AD437" s="73"/>
      <c r="AE437" s="73"/>
      <c r="AF437" s="76"/>
      <c r="AG437" s="60" t="str">
        <f>IFERROR(__xludf.DUMMYFUNCTION("""COMPUTED_VALUE"""),"")</f>
        <v/>
      </c>
    </row>
    <row r="438">
      <c r="A438" s="54" t="str">
        <f>IFERROR(__xludf.DUMMYFUNCTION("""COMPUTED_VALUE"""),"KVSA")</f>
        <v>KVSA</v>
      </c>
      <c r="B438" s="55" t="str">
        <f>IFERROR(__xludf.DUMMYFUNCTION("""COMPUTED_VALUE"""),"Khosla Ventures Acquisition Co.")</f>
        <v>Khosla Ventures Acquisition Co.</v>
      </c>
      <c r="C438" s="56" t="str">
        <f>IFERROR(__xludf.DUMMYFUNCTION("""COMPUTED_VALUE"""),"Searching")</f>
        <v>Searching</v>
      </c>
      <c r="D438" s="77" t="str">
        <f>IFERROR(__xludf.DUMMYFUNCTION("""COMPUTED_VALUE"""),"Tech (highly differentitated proprietary technology)")</f>
        <v>Tech (highly differentitated proprietary technology)</v>
      </c>
      <c r="E438" s="58"/>
      <c r="F438" s="59" t="str">
        <f>IFERROR(__xludf.DUMMYFUNCTION("""COMPUTED_VALUE"""),"Vinod Khosla (Founder, Khosla Ventures), Jagdeep Singh (Founder/Chairman/CEO, QuantumScape), Mario Schlosser (Founder/ CEO, Oscar Insurance)")</f>
        <v>Vinod Khosla (Founder, Khosla Ventures), Jagdeep Singh (Founder/Chairman/CEO, QuantumScape), Mario Schlosser (Founder/ CEO, Oscar Insurance)</v>
      </c>
      <c r="G438" s="60">
        <f>IFERROR(__xludf.DUMMYFUNCTION("""COMPUTED_VALUE"""),3.45E8)</f>
        <v>345000000</v>
      </c>
      <c r="H438" s="60">
        <f>IFERROR(__xludf.DUMMYFUNCTION("""COMPUTED_VALUE"""),3.135E8)</f>
        <v>313500000</v>
      </c>
      <c r="I438" s="61">
        <f>IFERROR(__xludf.DUMMYFUNCTION("""COMPUTED_VALUE"""),10.45)</f>
        <v>10.45</v>
      </c>
      <c r="J438" s="62">
        <f>IFERROR(__xludf.DUMMYFUNCTION("""COMPUTED_VALUE"""),0.00966)</f>
        <v>0.00966</v>
      </c>
      <c r="K438" s="59" t="str">
        <f>IFERROR(__xludf.DUMMYFUNCTION("""COMPUTED_VALUE""")," ")</f>
        <v> </v>
      </c>
      <c r="L438" s="63" t="str">
        <f>IFERROR(__xludf.DUMMYFUNCTION("""COMPUTED_VALUE""")," ")</f>
        <v> </v>
      </c>
      <c r="M438" s="64" t="str">
        <f>IFERROR(__xludf.DUMMYFUNCTION("""COMPUTED_VALUE"""),"U: [No units]; W: [No warrants]")</f>
        <v>U: [No units]; W: [No warrants]</v>
      </c>
      <c r="N438" s="65" t="str">
        <f>IFERROR(__xludf.DUMMYFUNCTION("""COMPUTED_VALUE"""),"")</f>
        <v/>
      </c>
      <c r="O438" s="66" t="str">
        <f>IFERROR(__xludf.DUMMYFUNCTION("""COMPUTED_VALUE"""),"")</f>
        <v/>
      </c>
      <c r="P438" s="67">
        <f>IFERROR(__xludf.DUMMYFUNCTION("""COMPUTED_VALUE"""),44259.0)</f>
        <v>44259</v>
      </c>
      <c r="Q438" s="68">
        <f>IFERROR(__xludf.DUMMYFUNCTION("""COMPUTED_VALUE"""),345.0)</f>
        <v>345</v>
      </c>
      <c r="R438" s="69" t="str">
        <f>IFERROR(__xludf.DUMMYFUNCTION("""COMPUTED_VALUE"""),"Goldman Sachs &amp; Co. LLC, Piper Sandler")</f>
        <v>Goldman Sachs &amp; Co. LLC, Piper Sandler</v>
      </c>
      <c r="S438" s="64">
        <f>IFERROR(__xludf.DUMMYFUNCTION("""COMPUTED_VALUE"""),44989.0)</f>
        <v>44989</v>
      </c>
      <c r="T438" s="70">
        <f>IFERROR(__xludf.DUMMYFUNCTION("""COMPUTED_VALUE"""),0.050684931506849315)</f>
        <v>0.05068493151</v>
      </c>
      <c r="U438" s="71" t="str">
        <f>IFERROR(__xludf.DUMMYFUNCTION("""COMPUTED_VALUE"""),"https://www.sec.gov/cgi-bin/browse-edgar?CIK=1841873")</f>
        <v>https://www.sec.gov/cgi-bin/browse-edgar?CIK=1841873</v>
      </c>
      <c r="V438" s="72" t="str">
        <f>IFERROR(__xludf.DUMMYFUNCTION("""COMPUTED_VALUE"""),"Venture Capital         Well-known Sponsor Serial Sponsor Top Tier UW ")</f>
        <v>Venture Capital         Well-known Sponsor Serial Sponsor Top Tier UW </v>
      </c>
      <c r="W438" s="73"/>
      <c r="X438" s="74"/>
      <c r="Y438" s="75"/>
      <c r="Z438" s="60"/>
      <c r="AA438" s="60"/>
      <c r="AB438" s="60"/>
      <c r="AC438" s="60"/>
      <c r="AD438" s="73"/>
      <c r="AE438" s="73"/>
      <c r="AF438" s="76"/>
      <c r="AG438" s="60"/>
    </row>
    <row r="439">
      <c r="A439" s="54" t="str">
        <f>IFERROR(__xludf.DUMMYFUNCTION("""COMPUTED_VALUE"""),"KVSB")</f>
        <v>KVSB</v>
      </c>
      <c r="B439" s="55" t="str">
        <f>IFERROR(__xludf.DUMMYFUNCTION("""COMPUTED_VALUE"""),"Khosla Ventures Acquisition Co. II")</f>
        <v>Khosla Ventures Acquisition Co. II</v>
      </c>
      <c r="C439" s="56" t="str">
        <f>IFERROR(__xludf.DUMMYFUNCTION("""COMPUTED_VALUE"""),"Searching")</f>
        <v>Searching</v>
      </c>
      <c r="D439" s="77" t="str">
        <f>IFERROR(__xludf.DUMMYFUNCTION("""COMPUTED_VALUE"""),"Tech (highly differentitated proprietary technology)")</f>
        <v>Tech (highly differentitated proprietary technology)</v>
      </c>
      <c r="E439" s="58"/>
      <c r="F439" s="59" t="str">
        <f>IFERROR(__xludf.DUMMYFUNCTION("""COMPUTED_VALUE"""),"Vinod Khosla (Founder, Khosla Ventures)")</f>
        <v>Vinod Khosla (Founder, Khosla Ventures)</v>
      </c>
      <c r="G439" s="60">
        <f>IFERROR(__xludf.DUMMYFUNCTION("""COMPUTED_VALUE"""),4.0E8)</f>
        <v>400000000</v>
      </c>
      <c r="H439" s="60">
        <f>IFERROR(__xludf.DUMMYFUNCTION("""COMPUTED_VALUE"""),4.2085989E8)</f>
        <v>420859890</v>
      </c>
      <c r="I439" s="61">
        <f>IFERROR(__xludf.DUMMYFUNCTION("""COMPUTED_VALUE"""),10.2399)</f>
        <v>10.2399</v>
      </c>
      <c r="J439" s="62">
        <f>IFERROR(__xludf.DUMMYFUNCTION("""COMPUTED_VALUE"""),-0.00487)</f>
        <v>-0.00487</v>
      </c>
      <c r="K439" s="59" t="str">
        <f>IFERROR(__xludf.DUMMYFUNCTION("""COMPUTED_VALUE""")," ")</f>
        <v> </v>
      </c>
      <c r="L439" s="63" t="str">
        <f>IFERROR(__xludf.DUMMYFUNCTION("""COMPUTED_VALUE""")," ")</f>
        <v> </v>
      </c>
      <c r="M439" s="64" t="str">
        <f>IFERROR(__xludf.DUMMYFUNCTION("""COMPUTED_VALUE"""),"U: [No units]; W: [No warrants]")</f>
        <v>U: [No units]; W: [No warrants]</v>
      </c>
      <c r="N439" s="65" t="str">
        <f>IFERROR(__xludf.DUMMYFUNCTION("""COMPUTED_VALUE"""),"")</f>
        <v/>
      </c>
      <c r="O439" s="66" t="str">
        <f>IFERROR(__xludf.DUMMYFUNCTION("""COMPUTED_VALUE"""),"")</f>
        <v/>
      </c>
      <c r="P439" s="67">
        <f>IFERROR(__xludf.DUMMYFUNCTION("""COMPUTED_VALUE"""),44279.0)</f>
        <v>44279</v>
      </c>
      <c r="Q439" s="68">
        <f>IFERROR(__xludf.DUMMYFUNCTION("""COMPUTED_VALUE"""),400.0)</f>
        <v>400</v>
      </c>
      <c r="R439" s="69" t="str">
        <f>IFERROR(__xludf.DUMMYFUNCTION("""COMPUTED_VALUE"""),"Citigroup, Goldman Sachs &amp; Co. LLC")</f>
        <v>Citigroup, Goldman Sachs &amp; Co. LLC</v>
      </c>
      <c r="S439" s="64">
        <f>IFERROR(__xludf.DUMMYFUNCTION("""COMPUTED_VALUE"""),45009.0)</f>
        <v>45009</v>
      </c>
      <c r="T439" s="70">
        <f>IFERROR(__xludf.DUMMYFUNCTION("""COMPUTED_VALUE"""),0.023287671232876714)</f>
        <v>0.02328767123</v>
      </c>
      <c r="U439" s="71" t="str">
        <f>IFERROR(__xludf.DUMMYFUNCTION("""COMPUTED_VALUE"""),"https://www.sec.gov/cgi-bin/browse-edgar?CIK=1846069")</f>
        <v>https://www.sec.gov/cgi-bin/browse-edgar?CIK=1846069</v>
      </c>
      <c r="V439" s="72" t="str">
        <f>IFERROR(__xludf.DUMMYFUNCTION("""COMPUTED_VALUE"""),"Venture Capital         Well-known Sponsor Serial Sponsor Top Tier UW ")</f>
        <v>Venture Capital         Well-known Sponsor Serial Sponsor Top Tier UW </v>
      </c>
      <c r="W439" s="73"/>
      <c r="X439" s="74"/>
      <c r="Y439" s="75"/>
      <c r="Z439" s="60"/>
      <c r="AA439" s="60"/>
      <c r="AB439" s="60"/>
      <c r="AC439" s="60"/>
      <c r="AD439" s="73"/>
      <c r="AE439" s="73"/>
      <c r="AF439" s="76"/>
      <c r="AG439" s="60"/>
    </row>
    <row r="440">
      <c r="A440" s="54" t="str">
        <f>IFERROR(__xludf.DUMMYFUNCTION("""COMPUTED_VALUE"""),"KVSC")</f>
        <v>KVSC</v>
      </c>
      <c r="B440" s="55" t="str">
        <f>IFERROR(__xludf.DUMMYFUNCTION("""COMPUTED_VALUE"""),"Khosla Ventures Acquisition Co. III")</f>
        <v>Khosla Ventures Acquisition Co. III</v>
      </c>
      <c r="C440" s="56" t="str">
        <f>IFERROR(__xludf.DUMMYFUNCTION("""COMPUTED_VALUE"""),"Searching")</f>
        <v>Searching</v>
      </c>
      <c r="D440" s="77" t="str">
        <f>IFERROR(__xludf.DUMMYFUNCTION("""COMPUTED_VALUE"""),"Tech (highly differentitated proprietary technology)")</f>
        <v>Tech (highly differentitated proprietary technology)</v>
      </c>
      <c r="E440" s="58"/>
      <c r="F440" s="59" t="str">
        <f>IFERROR(__xludf.DUMMYFUNCTION("""COMPUTED_VALUE"""),"Vinod Khosla (Founder, Khosla Ventures), Sara Clemens (COO, Twitch; Fmr COO, Pandora Media)")</f>
        <v>Vinod Khosla (Founder, Khosla Ventures), Sara Clemens (COO, Twitch; Fmr COO, Pandora Media)</v>
      </c>
      <c r="G440" s="60">
        <f>IFERROR(__xludf.DUMMYFUNCTION("""COMPUTED_VALUE"""),5.0E8)</f>
        <v>500000000</v>
      </c>
      <c r="H440" s="60">
        <f>IFERROR(__xludf.DUMMYFUNCTION("""COMPUTED_VALUE"""),5.20695E8)</f>
        <v>520695000</v>
      </c>
      <c r="I440" s="61">
        <f>IFERROR(__xludf.DUMMYFUNCTION("""COMPUTED_VALUE"""),10.15)</f>
        <v>10.15</v>
      </c>
      <c r="J440" s="62">
        <f>IFERROR(__xludf.DUMMYFUNCTION("""COMPUTED_VALUE"""),-0.00782)</f>
        <v>-0.00782</v>
      </c>
      <c r="K440" s="59" t="str">
        <f>IFERROR(__xludf.DUMMYFUNCTION("""COMPUTED_VALUE""")," ")</f>
        <v> </v>
      </c>
      <c r="L440" s="63" t="str">
        <f>IFERROR(__xludf.DUMMYFUNCTION("""COMPUTED_VALUE""")," ")</f>
        <v> </v>
      </c>
      <c r="M440" s="64" t="str">
        <f>IFERROR(__xludf.DUMMYFUNCTION("""COMPUTED_VALUE"""),"U: [No units]; W: [No warrants]")</f>
        <v>U: [No units]; W: [No warrants]</v>
      </c>
      <c r="N440" s="65" t="str">
        <f>IFERROR(__xludf.DUMMYFUNCTION("""COMPUTED_VALUE"""),"")</f>
        <v/>
      </c>
      <c r="O440" s="66" t="str">
        <f>IFERROR(__xludf.DUMMYFUNCTION("""COMPUTED_VALUE"""),"")</f>
        <v/>
      </c>
      <c r="P440" s="67">
        <f>IFERROR(__xludf.DUMMYFUNCTION("""COMPUTED_VALUE"""),44279.0)</f>
        <v>44279</v>
      </c>
      <c r="Q440" s="68">
        <f>IFERROR(__xludf.DUMMYFUNCTION("""COMPUTED_VALUE"""),500.0)</f>
        <v>500</v>
      </c>
      <c r="R440" s="69" t="str">
        <f>IFERROR(__xludf.DUMMYFUNCTION("""COMPUTED_VALUE"""),"Citigroup, Goldman Sachs &amp; Co. LLC")</f>
        <v>Citigroup, Goldman Sachs &amp; Co. LLC</v>
      </c>
      <c r="S440" s="64">
        <f>IFERROR(__xludf.DUMMYFUNCTION("""COMPUTED_VALUE"""),45009.0)</f>
        <v>45009</v>
      </c>
      <c r="T440" s="70">
        <f>IFERROR(__xludf.DUMMYFUNCTION("""COMPUTED_VALUE"""),0.023287671232876714)</f>
        <v>0.02328767123</v>
      </c>
      <c r="U440" s="71" t="str">
        <f>IFERROR(__xludf.DUMMYFUNCTION("""COMPUTED_VALUE"""),"https://www.sec.gov/cgi-bin/browse-edgar?CIK=1846068")</f>
        <v>https://www.sec.gov/cgi-bin/browse-edgar?CIK=1846068</v>
      </c>
      <c r="V440" s="72" t="str">
        <f>IFERROR(__xludf.DUMMYFUNCTION("""COMPUTED_VALUE"""),"Venture Capital   $500M+ Trust     Well-known Sponsor Serial Sponsor Top Tier UW ")</f>
        <v>Venture Capital   $500M+ Trust     Well-known Sponsor Serial Sponsor Top Tier UW </v>
      </c>
      <c r="W440" s="73"/>
      <c r="X440" s="74"/>
      <c r="Y440" s="75"/>
      <c r="Z440" s="60"/>
      <c r="AA440" s="60"/>
      <c r="AB440" s="60"/>
      <c r="AC440" s="60"/>
      <c r="AD440" s="73"/>
      <c r="AE440" s="73"/>
      <c r="AF440" s="76"/>
      <c r="AG440" s="60"/>
    </row>
    <row r="441">
      <c r="A441" s="54" t="str">
        <f>IFERROR(__xludf.DUMMYFUNCTION("""COMPUTED_VALUE"""),"KVSD")</f>
        <v>KVSD</v>
      </c>
      <c r="B441" s="55" t="str">
        <f>IFERROR(__xludf.DUMMYFUNCTION("""COMPUTED_VALUE"""),"Khosla Ventures Acquisition Co. IV")</f>
        <v>Khosla Ventures Acquisition Co. IV</v>
      </c>
      <c r="C441" s="56" t="str">
        <f>IFERROR(__xludf.DUMMYFUNCTION("""COMPUTED_VALUE"""),"Pre IPO")</f>
        <v>Pre IPO</v>
      </c>
      <c r="D441" s="77" t="str">
        <f>IFERROR(__xludf.DUMMYFUNCTION("""COMPUTED_VALUE"""),"Tech (highly differentitated proprietary technology)")</f>
        <v>Tech (highly differentitated proprietary technology)</v>
      </c>
      <c r="E441" s="58"/>
      <c r="F441" s="59" t="str">
        <f>IFERROR(__xludf.DUMMYFUNCTION("""COMPUTED_VALUE"""),"Vinod Khosla (Founder, Khosla Ventures), Jagdeep Singh (Founder/Chairman/CEO, QuantumScape), Rajiv Shah (President of the Rockefeller Foundation)")</f>
        <v>Vinod Khosla (Founder, Khosla Ventures), Jagdeep Singh (Founder/Chairman/CEO, QuantumScape), Rajiv Shah (President of the Rockefeller Foundation)</v>
      </c>
      <c r="G441" s="60">
        <f>IFERROR(__xludf.DUMMYFUNCTION("""COMPUTED_VALUE"""),2.0E8)</f>
        <v>200000000</v>
      </c>
      <c r="H441" s="60" t="str">
        <f>IFERROR(__xludf.DUMMYFUNCTION("""COMPUTED_VALUE""")," ")</f>
        <v> </v>
      </c>
      <c r="I441" s="61" t="str">
        <f>IFERROR(__xludf.DUMMYFUNCTION("""COMPUTED_VALUE""")," ")</f>
        <v> </v>
      </c>
      <c r="J441" s="62" t="str">
        <f>IFERROR(__xludf.DUMMYFUNCTION("""COMPUTED_VALUE""")," ")</f>
        <v> </v>
      </c>
      <c r="K441" s="59" t="str">
        <f>IFERROR(__xludf.DUMMYFUNCTION("""COMPUTED_VALUE""")," ")</f>
        <v> </v>
      </c>
      <c r="L441" s="63" t="str">
        <f>IFERROR(__xludf.DUMMYFUNCTION("""COMPUTED_VALUE""")," ")</f>
        <v> </v>
      </c>
      <c r="M441" s="64" t="str">
        <f>IFERROR(__xludf.DUMMYFUNCTION("""COMPUTED_VALUE"""),"U: [No Units]; W: [No Warrants]")</f>
        <v>U: [No Units]; W: [No Warrants]</v>
      </c>
      <c r="N441" s="65" t="str">
        <f>IFERROR(__xludf.DUMMYFUNCTION("""COMPUTED_VALUE"""),"")</f>
        <v/>
      </c>
      <c r="O441" s="66">
        <f>IFERROR(__xludf.DUMMYFUNCTION("""COMPUTED_VALUE"""),0.0)</f>
        <v>0</v>
      </c>
      <c r="P441" s="67"/>
      <c r="Q441" s="68">
        <f>IFERROR(__xludf.DUMMYFUNCTION("""COMPUTED_VALUE"""),200.0)</f>
        <v>200</v>
      </c>
      <c r="R441" s="69" t="str">
        <f>IFERROR(__xludf.DUMMYFUNCTION("""COMPUTED_VALUE"""),"Goldman Sachs &amp; Co. LLC, Piper Sandler")</f>
        <v>Goldman Sachs &amp; Co. LLC, Piper Sandler</v>
      </c>
      <c r="S441" s="64">
        <f>IFERROR(__xludf.DUMMYFUNCTION("""COMPUTED_VALUE"""),45086.0)</f>
        <v>45086</v>
      </c>
      <c r="T441" s="70" t="str">
        <f>IFERROR(__xludf.DUMMYFUNCTION("""COMPUTED_VALUE"""),"")</f>
        <v/>
      </c>
      <c r="U441" s="71" t="str">
        <f>IFERROR(__xludf.DUMMYFUNCTION("""COMPUTED_VALUE"""),"https://www.sec.gov/cgi-bin/browse-edgar?CIK=1847037")</f>
        <v>https://www.sec.gov/cgi-bin/browse-edgar?CIK=1847037</v>
      </c>
      <c r="V441" s="72" t="str">
        <f>IFERROR(__xludf.DUMMYFUNCTION("""COMPUTED_VALUE"""),"Venture Capital         Well-known Sponsor Serial Sponsor Top Tier UW ")</f>
        <v>Venture Capital         Well-known Sponsor Serial Sponsor Top Tier UW </v>
      </c>
      <c r="W441" s="73"/>
      <c r="X441" s="74"/>
      <c r="Y441" s="75"/>
      <c r="Z441" s="60"/>
      <c r="AA441" s="60"/>
      <c r="AB441" s="60"/>
      <c r="AC441" s="60"/>
      <c r="AD441" s="73"/>
      <c r="AE441" s="73"/>
      <c r="AF441" s="76"/>
      <c r="AG441" s="60"/>
    </row>
    <row r="442">
      <c r="A442" s="54" t="str">
        <f>IFERROR(__xludf.DUMMYFUNCTION("""COMPUTED_VALUE"""),"KWAC")</f>
        <v>KWAC</v>
      </c>
      <c r="B442" s="55" t="str">
        <f>IFERROR(__xludf.DUMMYFUNCTION("""COMPUTED_VALUE"""),"Kingswood Acquisition Corp.")</f>
        <v>Kingswood Acquisition Corp.</v>
      </c>
      <c r="C442" s="56" t="str">
        <f>IFERROR(__xludf.DUMMYFUNCTION("""COMPUTED_VALUE"""),"Searching")</f>
        <v>Searching</v>
      </c>
      <c r="D442" s="57" t="str">
        <f>IFERROR(__xludf.DUMMYFUNCTION("""COMPUTED_VALUE"""),"Financial Services (wealth management, financial advisory and investment management)")</f>
        <v>Financial Services (wealth management, financial advisory and investment management)</v>
      </c>
      <c r="E442" s="58" t="str">
        <f>IFERROR(__xludf.DUMMYFUNCTION("""COMPUTED_VALUE"""),"Lombard (LOI: Per Sky News 3/23/21]")</f>
        <v>Lombard (LOI: Per Sky News 3/23/21]</v>
      </c>
      <c r="F442" s="59"/>
      <c r="G442" s="60">
        <f>IFERROR(__xludf.DUMMYFUNCTION("""COMPUTED_VALUE"""),1.1784855E8)</f>
        <v>117848550</v>
      </c>
      <c r="H442" s="60">
        <f>IFERROR(__xludf.DUMMYFUNCTION("""COMPUTED_VALUE"""),1.166202E8)</f>
        <v>116620200</v>
      </c>
      <c r="I442" s="61">
        <f>IFERROR(__xludf.DUMMYFUNCTION("""COMPUTED_VALUE"""),10.05)</f>
        <v>10.05</v>
      </c>
      <c r="J442" s="62"/>
      <c r="K442" s="59">
        <f>IFERROR(__xludf.DUMMYFUNCTION("""COMPUTED_VALUE"""),10.45)</f>
        <v>10.45</v>
      </c>
      <c r="L442" s="63">
        <f>IFERROR(__xludf.DUMMYFUNCTION("""COMPUTED_VALUE"""),0.58)</f>
        <v>0.58</v>
      </c>
      <c r="M442" s="64" t="str">
        <f>IFERROR(__xludf.DUMMYFUNCTION("""COMPUTED_VALUE"""),"U: [3/4 W]; W: [1:1, $11.5]")</f>
        <v>U: [3/4 W]; W: [1:1, $11.5]</v>
      </c>
      <c r="N442" s="65" t="str">
        <f>IFERROR(__xludf.DUMMYFUNCTION("""COMPUTED_VALUE"""),"")</f>
        <v/>
      </c>
      <c r="O442" s="66">
        <f>IFERROR(__xludf.DUMMYFUNCTION("""COMPUTED_VALUE"""),0.0)</f>
        <v>0</v>
      </c>
      <c r="P442" s="67">
        <f>IFERROR(__xludf.DUMMYFUNCTION("""COMPUTED_VALUE"""),44155.0)</f>
        <v>44155</v>
      </c>
      <c r="Q442" s="68">
        <f>IFERROR(__xludf.DUMMYFUNCTION("""COMPUTED_VALUE"""),117.84855)</f>
        <v>117.84855</v>
      </c>
      <c r="R442" s="69" t="str">
        <f>IFERROR(__xludf.DUMMYFUNCTION("""COMPUTED_VALUE"""),"Oppenheimer &amp; Co., Odeon Capital Group")</f>
        <v>Oppenheimer &amp; Co., Odeon Capital Group</v>
      </c>
      <c r="S442" s="64">
        <f>IFERROR(__xludf.DUMMYFUNCTION("""COMPUTED_VALUE"""),44702.5)</f>
        <v>44702.5</v>
      </c>
      <c r="T442" s="70">
        <f>IFERROR(__xludf.DUMMYFUNCTION("""COMPUTED_VALUE"""),0.25753424657534246)</f>
        <v>0.2575342466</v>
      </c>
      <c r="U442" s="71" t="str">
        <f>IFERROR(__xludf.DUMMYFUNCTION("""COMPUTED_VALUE"""),"https://www.sec.gov/cgi-bin/browse-edgar?CIK=1823086")</f>
        <v>https://www.sec.gov/cgi-bin/browse-edgar?CIK=1823086</v>
      </c>
      <c r="V442" s="72" t="str">
        <f>IFERROR(__xludf.DUMMYFUNCTION("""COMPUTED_VALUE"""),"            ")</f>
        <v>            </v>
      </c>
      <c r="W442" s="73"/>
      <c r="X442" s="74"/>
      <c r="Y442" s="75"/>
      <c r="Z442" s="60"/>
      <c r="AA442" s="60"/>
      <c r="AB442" s="60"/>
      <c r="AC442" s="60"/>
      <c r="AD442" s="73"/>
      <c r="AE442" s="73"/>
      <c r="AF442" s="76"/>
      <c r="AG442" s="60" t="str">
        <f>IFERROR(__xludf.DUMMYFUNCTION("""COMPUTED_VALUE"""),"")</f>
        <v/>
      </c>
    </row>
    <row r="443">
      <c r="A443" s="54" t="str">
        <f>IFERROR(__xludf.DUMMYFUNCTION("""COMPUTED_VALUE"""),"LACQ")</f>
        <v>LACQ</v>
      </c>
      <c r="B443" s="55" t="str">
        <f>IFERROR(__xludf.DUMMYFUNCTION("""COMPUTED_VALUE"""),"Leisure Acquisition Corp")</f>
        <v>Leisure Acquisition Corp</v>
      </c>
      <c r="C443" s="56" t="str">
        <f>IFERROR(__xludf.DUMMYFUNCTION("""COMPUTED_VALUE"""),"Definitive Agreement")</f>
        <v>Definitive Agreement</v>
      </c>
      <c r="D443" s="57" t="str">
        <f>IFERROR(__xludf.DUMMYFUNCTION("""COMPUTED_VALUE"""),"Gaming, Recreation, Travel, Lodging")</f>
        <v>Gaming, Recreation, Travel, Lodging</v>
      </c>
      <c r="E443" s="58" t="str">
        <f>IFERROR(__xludf.DUMMYFUNCTION("""COMPUTED_VALUE"""),"Ensysce Biosciences [DA: 02/01/21]")</f>
        <v>Ensysce Biosciences [DA: 02/01/21]</v>
      </c>
      <c r="F443" s="59"/>
      <c r="G443" s="60">
        <f>IFERROR(__xludf.DUMMYFUNCTION("""COMPUTED_VALUE"""),1.3187558E7)</f>
        <v>13187558</v>
      </c>
      <c r="H443" s="60">
        <f>IFERROR(__xludf.DUMMYFUNCTION("""COMPUTED_VALUE"""),8.0316087E7)</f>
        <v>80316087</v>
      </c>
      <c r="I443" s="61">
        <f>IFERROR(__xludf.DUMMYFUNCTION("""COMPUTED_VALUE"""),12.9037)</f>
        <v>12.9037</v>
      </c>
      <c r="J443" s="62">
        <f>IFERROR(__xludf.DUMMYFUNCTION("""COMPUTED_VALUE"""),0.00418)</f>
        <v>0.00418</v>
      </c>
      <c r="K443" s="59">
        <f>IFERROR(__xludf.DUMMYFUNCTION("""COMPUTED_VALUE"""),14.55)</f>
        <v>14.55</v>
      </c>
      <c r="L443" s="63">
        <f>IFERROR(__xludf.DUMMYFUNCTION("""COMPUTED_VALUE"""),0.9)</f>
        <v>0.9</v>
      </c>
      <c r="M443" s="64" t="str">
        <f>IFERROR(__xludf.DUMMYFUNCTION("""COMPUTED_VALUE"""),"U: [1/2 W]; W: [1:1, $11.5]")</f>
        <v>U: [1/2 W]; W: [1:1, $11.5]</v>
      </c>
      <c r="N443" s="65" t="str">
        <f>IFERROR(__xludf.DUMMYFUNCTION("""COMPUTED_VALUE"""),"")</f>
        <v/>
      </c>
      <c r="O443" s="66">
        <f>IFERROR(__xludf.DUMMYFUNCTION("""COMPUTED_VALUE"""),1.4037000000000006)</f>
        <v>1.4037</v>
      </c>
      <c r="P443" s="67">
        <f>IFERROR(__xludf.DUMMYFUNCTION("""COMPUTED_VALUE"""),43070.0)</f>
        <v>43070</v>
      </c>
      <c r="Q443" s="68">
        <f>IFERROR(__xludf.DUMMYFUNCTION("""COMPUTED_VALUE"""),200.0)</f>
        <v>200</v>
      </c>
      <c r="R443" s="85" t="str">
        <f>IFERROR(__xludf.DUMMYFUNCTION("""COMPUTED_VALUE"""),"Morgan Stanley, EarlyBirdCapital")</f>
        <v>Morgan Stanley, EarlyBirdCapital</v>
      </c>
      <c r="S443" s="64">
        <f>IFERROR(__xludf.DUMMYFUNCTION("""COMPUTED_VALUE"""),44377.0)</f>
        <v>44377</v>
      </c>
      <c r="T443" s="70">
        <f>IFERROR(__xludf.DUMMYFUNCTION("""COMPUTED_VALUE"""),0.9380260137719969)</f>
        <v>0.9380260138</v>
      </c>
      <c r="U443" s="71" t="str">
        <f>IFERROR(__xludf.DUMMYFUNCTION("""COMPUTED_VALUE"""),"https://www.sec.gov/cgi-bin/browse-edgar?CIK=1716947")</f>
        <v>https://www.sec.gov/cgi-bin/browse-edgar?CIK=1716947</v>
      </c>
      <c r="V443" s="72" t="str">
        <f>IFERROR(__xludf.DUMMYFUNCTION("""COMPUTED_VALUE"""),"Gaming           Top Tier UW ")</f>
        <v>Gaming           Top Tier UW </v>
      </c>
      <c r="W443" s="73">
        <f>IFERROR(__xludf.DUMMYFUNCTION("""COMPUTED_VALUE"""),44228.0)</f>
        <v>44228</v>
      </c>
      <c r="X443" s="79">
        <f>IFERROR(__xludf.DUMMYFUNCTION("""COMPUTED_VALUE"""),38.6)</f>
        <v>38.6</v>
      </c>
      <c r="Y443" s="80" t="str">
        <f>IFERROR(__xludf.DUMMYFUNCTION("""COMPUTED_VALUE"""),"https://www.prnewswire.com/news-releases/leisure-acquisition-corp-enters-into-merger-agreement-for-business-combination-with-ensysce-biosciences-inc-301218847.html")</f>
        <v>https://www.prnewswire.com/news-releases/leisure-acquisition-corp-enters-into-merger-agreement-for-business-combination-with-ensysce-biosciences-inc-301218847.html</v>
      </c>
      <c r="Z443" s="81" t="str">
        <f>IFERROR(__xludf.DUMMYFUNCTION("""COMPUTED_VALUE"""),"https://www.sec.gov/Archives/edgar/data/1716947/000121390021006308/ea134513ex99-1_leisureacq.htm")</f>
        <v>https://www.sec.gov/Archives/edgar/data/1716947/000121390021006308/ea134513ex99-1_leisureacq.htm</v>
      </c>
      <c r="AA443" s="60"/>
      <c r="AB443" s="60">
        <f>IFERROR(__xludf.DUMMYFUNCTION("""COMPUTED_VALUE"""),2.742E8)</f>
        <v>274200000</v>
      </c>
      <c r="AC443" s="60">
        <f>IFERROR(__xludf.DUMMYFUNCTION("""COMPUTED_VALUE"""),2.675E8)</f>
        <v>267500000</v>
      </c>
      <c r="AD443" s="73"/>
      <c r="AE443" s="73"/>
      <c r="AF443" s="76">
        <f>IFERROR(__xludf.DUMMYFUNCTION("""COMPUTED_VALUE"""),2.742E7)</f>
        <v>27420000</v>
      </c>
      <c r="AG443" s="60">
        <f>IFERROR(__xludf.DUMMYFUNCTION("""COMPUTED_VALUE"""),3.53819454E8)</f>
        <v>353819454</v>
      </c>
    </row>
    <row r="444">
      <c r="A444" s="54" t="str">
        <f>IFERROR(__xludf.DUMMYFUNCTION("""COMPUTED_VALUE"""),"LATN")</f>
        <v>LATN</v>
      </c>
      <c r="B444" s="55" t="str">
        <f>IFERROR(__xludf.DUMMYFUNCTION("""COMPUTED_VALUE"""),"Union Acquisition Corp II")</f>
        <v>Union Acquisition Corp II</v>
      </c>
      <c r="C444" s="56" t="str">
        <f>IFERROR(__xludf.DUMMYFUNCTION("""COMPUTED_VALUE"""),"Definitive Agreement")</f>
        <v>Definitive Agreement</v>
      </c>
      <c r="D444" s="57" t="str">
        <f>IFERROR(__xludf.DUMMYFUNCTION("""COMPUTED_VALUE"""),"Latin America")</f>
        <v>Latin America</v>
      </c>
      <c r="E444" s="58" t="str">
        <f>IFERROR(__xludf.DUMMYFUNCTION("""COMPUTED_VALUE"""),"Procaps Group [DA: 03/31/21]")</f>
        <v>Procaps Group [DA: 03/31/21]</v>
      </c>
      <c r="F444" s="59"/>
      <c r="G444" s="60">
        <f>IFERROR(__xludf.DUMMYFUNCTION("""COMPUTED_VALUE"""),2.01201858E8)</f>
        <v>201201858</v>
      </c>
      <c r="H444" s="60">
        <f>IFERROR(__xludf.DUMMYFUNCTION("""COMPUTED_VALUE"""),2.5175E8)</f>
        <v>251750000</v>
      </c>
      <c r="I444" s="61">
        <f>IFERROR(__xludf.DUMMYFUNCTION("""COMPUTED_VALUE"""),10.07)</f>
        <v>10.07</v>
      </c>
      <c r="J444" s="62">
        <f>IFERROR(__xludf.DUMMYFUNCTION("""COMPUTED_VALUE"""),9.9E-4)</f>
        <v>0.00099</v>
      </c>
      <c r="K444" s="59">
        <f>IFERROR(__xludf.DUMMYFUNCTION("""COMPUTED_VALUE"""),10.68)</f>
        <v>10.68</v>
      </c>
      <c r="L444" s="63">
        <f>IFERROR(__xludf.DUMMYFUNCTION("""COMPUTED_VALUE"""),0.65)</f>
        <v>0.65</v>
      </c>
      <c r="M444" s="64" t="str">
        <f>IFERROR(__xludf.DUMMYFUNCTION("""COMPUTED_VALUE"""),"U: [1 W]; W: [1:1, $11.5]")</f>
        <v>U: [1 W]; W: [1:1, $11.5]</v>
      </c>
      <c r="N444" s="65" t="str">
        <f>IFERROR(__xludf.DUMMYFUNCTION("""COMPUTED_VALUE"""),"")</f>
        <v/>
      </c>
      <c r="O444" s="66">
        <f>IFERROR(__xludf.DUMMYFUNCTION("""COMPUTED_VALUE"""),0.0)</f>
        <v>0</v>
      </c>
      <c r="P444" s="67">
        <f>IFERROR(__xludf.DUMMYFUNCTION("""COMPUTED_VALUE"""),43756.0)</f>
        <v>43756</v>
      </c>
      <c r="Q444" s="68">
        <f>IFERROR(__xludf.DUMMYFUNCTION("""COMPUTED_VALUE"""),200.0)</f>
        <v>200</v>
      </c>
      <c r="R444" s="85" t="str">
        <f>IFERROR(__xludf.DUMMYFUNCTION("""COMPUTED_VALUE"""),"Cantor")</f>
        <v>Cantor</v>
      </c>
      <c r="S444" s="64">
        <f>IFERROR(__xludf.DUMMYFUNCTION("""COMPUTED_VALUE"""),44303.5)</f>
        <v>44303.5</v>
      </c>
      <c r="T444" s="70">
        <f>IFERROR(__xludf.DUMMYFUNCTION("""COMPUTED_VALUE"""),0.9863013698630136)</f>
        <v>0.9863013699</v>
      </c>
      <c r="U444" s="71" t="str">
        <f>IFERROR(__xludf.DUMMYFUNCTION("""COMPUTED_VALUE"""),"https://www.sec.gov/cgi-bin/browse-edgar?CIK=1766146")</f>
        <v>https://www.sec.gov/cgi-bin/browse-edgar?CIK=1766146</v>
      </c>
      <c r="V444" s="72" t="str">
        <f>IFERROR(__xludf.DUMMYFUNCTION("""COMPUTED_VALUE"""),"      Deadline Approaching      ")</f>
        <v>      Deadline Approaching      </v>
      </c>
      <c r="W444" s="73">
        <f>IFERROR(__xludf.DUMMYFUNCTION("""COMPUTED_VALUE"""),44286.0)</f>
        <v>44286</v>
      </c>
      <c r="X444" s="79">
        <f>IFERROR(__xludf.DUMMYFUNCTION("""COMPUTED_VALUE"""),17.666666666666668)</f>
        <v>17.66666667</v>
      </c>
      <c r="Y444" s="80" t="str">
        <f>IFERROR(__xludf.DUMMYFUNCTION("""COMPUTED_VALUE"""),"https://www.businesswire.com/news/home/20210331005170/en/")</f>
        <v>https://www.businesswire.com/news/home/20210331005170/en/</v>
      </c>
      <c r="Z444" s="81" t="str">
        <f>IFERROR(__xludf.DUMMYFUNCTION("""COMPUTED_VALUE"""),"https://www.sec.gov/Archives/edgar/data/1766146/000121390021018966/ea138713ex99-2_unionacq2.htm")</f>
        <v>https://www.sec.gov/Archives/edgar/data/1766146/000121390021018966/ea138713ex99-2_unionacq2.htm</v>
      </c>
      <c r="AA444" s="60">
        <f>IFERROR(__xludf.DUMMYFUNCTION("""COMPUTED_VALUE"""),1.0E8)</f>
        <v>100000000</v>
      </c>
      <c r="AB444" s="60">
        <f>IFERROR(__xludf.DUMMYFUNCTION("""COMPUTED_VALUE"""),1.144E9)</f>
        <v>1144000000</v>
      </c>
      <c r="AC444" s="60">
        <f>IFERROR(__xludf.DUMMYFUNCTION("""COMPUTED_VALUE"""),1.125E9)</f>
        <v>1125000000</v>
      </c>
      <c r="AD444" s="73"/>
      <c r="AE444" s="73"/>
      <c r="AF444" s="76">
        <f>IFERROR(__xludf.DUMMYFUNCTION("""COMPUTED_VALUE"""),1.144E8)</f>
        <v>114400000</v>
      </c>
      <c r="AG444" s="60">
        <f>IFERROR(__xludf.DUMMYFUNCTION("""COMPUTED_VALUE"""),1.152008E9)</f>
        <v>1152008000</v>
      </c>
    </row>
    <row r="445">
      <c r="A445" s="54" t="str">
        <f>IFERROR(__xludf.DUMMYFUNCTION("""COMPUTED_VALUE"""),"LCA")</f>
        <v>LCA</v>
      </c>
      <c r="B445" s="55" t="str">
        <f>IFERROR(__xludf.DUMMYFUNCTION("""COMPUTED_VALUE"""),"Landcadia Holdings IV, Inc.")</f>
        <v>Landcadia Holdings IV, Inc.</v>
      </c>
      <c r="C445" s="56" t="str">
        <f>IFERROR(__xludf.DUMMYFUNCTION("""COMPUTED_VALUE"""),"Searching (Pre Unit Split)")</f>
        <v>Searching (Pre Unit Split)</v>
      </c>
      <c r="D445" s="77" t="str">
        <f>IFERROR(__xludf.DUMMYFUNCTION("""COMPUTED_VALUE"""),"Consumer, Dining, Hospitality, Entertainment, Gaming")</f>
        <v>Consumer, Dining, Hospitality, Entertainment, Gaming</v>
      </c>
      <c r="E445" s="58"/>
      <c r="F445" s="59" t="str">
        <f>IFERROR(__xludf.DUMMYFUNCTION("""COMPUTED_VALUE"""),"Tilman Fertitta (Houston Rockets owner, CEO of Landry's)")</f>
        <v>Tilman Fertitta (Houston Rockets owner, CEO of Landry's)</v>
      </c>
      <c r="G445" s="60">
        <f>IFERROR(__xludf.DUMMYFUNCTION("""COMPUTED_VALUE"""),5.0E8)</f>
        <v>500000000</v>
      </c>
      <c r="H445" s="60" t="str">
        <f>IFERROR(__xludf.DUMMYFUNCTION("""COMPUTED_VALUE""")," ")</f>
        <v> </v>
      </c>
      <c r="I445" s="61" t="str">
        <f>IFERROR(__xludf.DUMMYFUNCTION("""COMPUTED_VALUE""")," ")</f>
        <v> </v>
      </c>
      <c r="J445" s="62" t="str">
        <f>IFERROR(__xludf.DUMMYFUNCTION("""COMPUTED_VALUE""")," ")</f>
        <v> </v>
      </c>
      <c r="K445" s="59" t="str">
        <f>IFERROR(__xludf.DUMMYFUNCTION("""COMPUTED_VALUE""")," ")</f>
        <v> </v>
      </c>
      <c r="L445" s="63" t="str">
        <f>IFERROR(__xludf.DUMMYFUNCTION("""COMPUTED_VALUE""")," ")</f>
        <v> </v>
      </c>
      <c r="M445" s="64" t="str">
        <f>IFERROR(__xludf.DUMMYFUNCTION("""COMPUTED_VALUE"""),"U: [1/4 W]; W: [1:1, $11.5]")</f>
        <v>U: [1/4 W]; W: [1:1, $11.5]</v>
      </c>
      <c r="N445" s="65">
        <f>IFERROR(__xludf.DUMMYFUNCTION("""COMPUTED_VALUE"""),44331.0)</f>
        <v>44331</v>
      </c>
      <c r="O445" s="66" t="str">
        <f>IFERROR(__xludf.DUMMYFUNCTION("""COMPUTED_VALUE"""),"")</f>
        <v/>
      </c>
      <c r="P445" s="67">
        <f>IFERROR(__xludf.DUMMYFUNCTION("""COMPUTED_VALUE"""),44279.0)</f>
        <v>44279</v>
      </c>
      <c r="Q445" s="68">
        <f>IFERROR(__xludf.DUMMYFUNCTION("""COMPUTED_VALUE"""),500.0)</f>
        <v>500</v>
      </c>
      <c r="R445" s="69" t="str">
        <f>IFERROR(__xludf.DUMMYFUNCTION("""COMPUTED_VALUE"""),"Jefferies")</f>
        <v>Jefferies</v>
      </c>
      <c r="S445" s="64">
        <f>IFERROR(__xludf.DUMMYFUNCTION("""COMPUTED_VALUE"""),45009.0)</f>
        <v>45009</v>
      </c>
      <c r="T445" s="70">
        <f>IFERROR(__xludf.DUMMYFUNCTION("""COMPUTED_VALUE"""),0.023287671232876714)</f>
        <v>0.02328767123</v>
      </c>
      <c r="U445" s="71" t="str">
        <f>IFERROR(__xludf.DUMMYFUNCTION("""COMPUTED_VALUE"""),"https://www.sec.gov/cgi-bin/browse-edgar?CIK=1844642")</f>
        <v>https://www.sec.gov/cgi-bin/browse-edgar?CIK=1844642</v>
      </c>
      <c r="V445" s="72" t="str">
        <f>IFERROR(__xludf.DUMMYFUNCTION("""COMPUTED_VALUE"""),"   $500M+ Trust     Well-known Sponsor Serial Sponsor  ")</f>
        <v>   $500M+ Trust     Well-known Sponsor Serial Sponsor  </v>
      </c>
      <c r="W445" s="73"/>
      <c r="X445" s="74"/>
      <c r="Y445" s="75"/>
      <c r="Z445" s="60"/>
      <c r="AA445" s="60"/>
      <c r="AB445" s="60"/>
      <c r="AC445" s="60"/>
      <c r="AD445" s="73"/>
      <c r="AE445" s="73"/>
      <c r="AF445" s="76"/>
      <c r="AG445" s="60"/>
    </row>
    <row r="446">
      <c r="A446" s="54" t="str">
        <f>IFERROR(__xludf.DUMMYFUNCTION("""COMPUTED_VALUE"""),"LCAA")</f>
        <v>LCAA</v>
      </c>
      <c r="B446" s="55" t="str">
        <f>IFERROR(__xludf.DUMMYFUNCTION("""COMPUTED_VALUE"""),"L Catterton Asia Acquisition Corp")</f>
        <v>L Catterton Asia Acquisition Corp</v>
      </c>
      <c r="C446" s="56" t="str">
        <f>IFERROR(__xludf.DUMMYFUNCTION("""COMPUTED_VALUE"""),"Searching (Pre Unit Split)")</f>
        <v>Searching (Pre Unit Split)</v>
      </c>
      <c r="D446" s="77" t="str">
        <f>IFERROR(__xludf.DUMMYFUNCTION("""COMPUTED_VALUE"""),"Consumer Tech in Asia")</f>
        <v>Consumer Tech in Asia</v>
      </c>
      <c r="E446" s="58"/>
      <c r="F446" s="59" t="str">
        <f>IFERROR(__xludf.DUMMYFUNCTION("""COMPUTED_VALUE"""),"Chinta Bhagat (Co-head and CEO of L Catterton Asia), Scott Chen (Co-head and CIO of L Catterton Asia), John Sculley (Former CEO of Apple and Former CEO of Pepsi-Cola)")</f>
        <v>Chinta Bhagat (Co-head and CEO of L Catterton Asia), Scott Chen (Co-head and CIO of L Catterton Asia), John Sculley (Former CEO of Apple and Former CEO of Pepsi-Cola)</v>
      </c>
      <c r="G446" s="60">
        <f>IFERROR(__xludf.DUMMYFUNCTION("""COMPUTED_VALUE"""),2.5E8)</f>
        <v>250000000</v>
      </c>
      <c r="H446" s="60" t="str">
        <f>IFERROR(__xludf.DUMMYFUNCTION("""COMPUTED_VALUE""")," ")</f>
        <v> </v>
      </c>
      <c r="I446" s="61" t="str">
        <f>IFERROR(__xludf.DUMMYFUNCTION("""COMPUTED_VALUE""")," ")</f>
        <v> </v>
      </c>
      <c r="J446" s="62" t="str">
        <f>IFERROR(__xludf.DUMMYFUNCTION("""COMPUTED_VALUE""")," ")</f>
        <v> </v>
      </c>
      <c r="K446" s="59">
        <f>IFERROR(__xludf.DUMMYFUNCTION("""COMPUTED_VALUE"""),10.05)</f>
        <v>10.05</v>
      </c>
      <c r="L446" s="63" t="str">
        <f>IFERROR(__xludf.DUMMYFUNCTION("""COMPUTED_VALUE""")," ")</f>
        <v> </v>
      </c>
      <c r="M446" s="64" t="str">
        <f>IFERROR(__xludf.DUMMYFUNCTION("""COMPUTED_VALUE"""),"U: [1/3 W]; W: [1:1, $11.5]")</f>
        <v>U: [1/3 W]; W: [1:1, $11.5]</v>
      </c>
      <c r="N446" s="65">
        <f>IFERROR(__xludf.DUMMYFUNCTION("""COMPUTED_VALUE"""),44317.0)</f>
        <v>44317</v>
      </c>
      <c r="O446" s="66">
        <f>IFERROR(__xludf.DUMMYFUNCTION("""COMPUTED_VALUE"""),0.0)</f>
        <v>0</v>
      </c>
      <c r="P446" s="67">
        <f>IFERROR(__xludf.DUMMYFUNCTION("""COMPUTED_VALUE"""),44265.0)</f>
        <v>44265</v>
      </c>
      <c r="Q446" s="68">
        <f>IFERROR(__xludf.DUMMYFUNCTION("""COMPUTED_VALUE"""),250.0)</f>
        <v>250</v>
      </c>
      <c r="R446" s="69" t="str">
        <f>IFERROR(__xludf.DUMMYFUNCTION("""COMPUTED_VALUE"""),"Credit Suisse")</f>
        <v>Credit Suisse</v>
      </c>
      <c r="S446" s="64">
        <f>IFERROR(__xludf.DUMMYFUNCTION("""COMPUTED_VALUE"""),44995.0)</f>
        <v>44995</v>
      </c>
      <c r="T446" s="70">
        <f>IFERROR(__xludf.DUMMYFUNCTION("""COMPUTED_VALUE"""),0.04246575342465753)</f>
        <v>0.04246575342</v>
      </c>
      <c r="U446" s="71" t="str">
        <f>IFERROR(__xludf.DUMMYFUNCTION("""COMPUTED_VALUE"""),"https://www.sec.gov/cgi-bin/browse-edgar?CIK=1841024")</f>
        <v>https://www.sec.gov/cgi-bin/browse-edgar?CIK=1841024</v>
      </c>
      <c r="V446" s="72" t="str">
        <f>IFERROR(__xludf.DUMMYFUNCTION("""COMPUTED_VALUE"""),"         Well-known Sponsor   ")</f>
        <v>         Well-known Sponsor   </v>
      </c>
      <c r="W446" s="73"/>
      <c r="X446" s="74"/>
      <c r="Y446" s="75"/>
      <c r="Z446" s="60"/>
      <c r="AA446" s="60"/>
      <c r="AB446" s="60"/>
      <c r="AC446" s="60"/>
      <c r="AD446" s="73"/>
      <c r="AE446" s="73"/>
      <c r="AF446" s="76"/>
      <c r="AG446" s="60"/>
    </row>
    <row r="447">
      <c r="A447" s="54" t="str">
        <f>IFERROR(__xludf.DUMMYFUNCTION("""COMPUTED_VALUE"""),"LCAP")</f>
        <v>LCAP</v>
      </c>
      <c r="B447" s="55" t="str">
        <f>IFERROR(__xludf.DUMMYFUNCTION("""COMPUTED_VALUE"""),"Lionheart Acquisition Corp. II")</f>
        <v>Lionheart Acquisition Corp. II</v>
      </c>
      <c r="C447" s="56" t="str">
        <f>IFERROR(__xludf.DUMMYFUNCTION("""COMPUTED_VALUE"""),"Searching")</f>
        <v>Searching</v>
      </c>
      <c r="D447" s="57" t="str">
        <f>IFERROR(__xludf.DUMMYFUNCTION("""COMPUTED_VALUE"""),"PropTech")</f>
        <v>PropTech</v>
      </c>
      <c r="E447" s="58"/>
      <c r="F447" s="59" t="str">
        <f>IFERROR(__xludf.DUMMYFUNCTION("""COMPUTED_VALUE"""),"Ophir Sternberg (Chairman, OPES Acquisition Corp.)")</f>
        <v>Ophir Sternberg (Chairman, OPES Acquisition Corp.)</v>
      </c>
      <c r="G447" s="60">
        <f>IFERROR(__xludf.DUMMYFUNCTION("""COMPUTED_VALUE"""),2.30006646E8)</f>
        <v>230006646</v>
      </c>
      <c r="H447" s="60">
        <f>IFERROR(__xludf.DUMMYFUNCTION("""COMPUTED_VALUE"""),2.34135E8)</f>
        <v>234135000</v>
      </c>
      <c r="I447" s="61">
        <f>IFERROR(__xludf.DUMMYFUNCTION("""COMPUTED_VALUE"""),9.9)</f>
        <v>9.9</v>
      </c>
      <c r="J447" s="62">
        <f>IFERROR(__xludf.DUMMYFUNCTION("""COMPUTED_VALUE"""),-0.00302)</f>
        <v>-0.00302</v>
      </c>
      <c r="K447" s="59">
        <f>IFERROR(__xludf.DUMMYFUNCTION("""COMPUTED_VALUE"""),10.3)</f>
        <v>10.3</v>
      </c>
      <c r="L447" s="63">
        <f>IFERROR(__xludf.DUMMYFUNCTION("""COMPUTED_VALUE"""),0.92)</f>
        <v>0.92</v>
      </c>
      <c r="M447" s="64" t="str">
        <f>IFERROR(__xludf.DUMMYFUNCTION("""COMPUTED_VALUE"""),"U: [1/2 W]; W: [1:1, $11.5]")</f>
        <v>U: [1/2 W]; W: [1:1, $11.5]</v>
      </c>
      <c r="N447" s="65" t="str">
        <f>IFERROR(__xludf.DUMMYFUNCTION("""COMPUTED_VALUE"""),"")</f>
        <v/>
      </c>
      <c r="O447" s="66">
        <f>IFERROR(__xludf.DUMMYFUNCTION("""COMPUTED_VALUE"""),0.0)</f>
        <v>0</v>
      </c>
      <c r="P447" s="67">
        <f>IFERROR(__xludf.DUMMYFUNCTION("""COMPUTED_VALUE"""),44056.0)</f>
        <v>44056</v>
      </c>
      <c r="Q447" s="68">
        <f>IFERROR(__xludf.DUMMYFUNCTION("""COMPUTED_VALUE"""),230.0)</f>
        <v>230</v>
      </c>
      <c r="R447" s="85" t="str">
        <f>IFERROR(__xludf.DUMMYFUNCTION("""COMPUTED_VALUE"""),"Nomura, Cantor")</f>
        <v>Nomura, Cantor</v>
      </c>
      <c r="S447" s="64">
        <f>IFERROR(__xludf.DUMMYFUNCTION("""COMPUTED_VALUE"""),44603.5)</f>
        <v>44603.5</v>
      </c>
      <c r="T447" s="70">
        <f>IFERROR(__xludf.DUMMYFUNCTION("""COMPUTED_VALUE"""),0.4383561643835616)</f>
        <v>0.4383561644</v>
      </c>
      <c r="U447" s="71" t="str">
        <f>IFERROR(__xludf.DUMMYFUNCTION("""COMPUTED_VALUE"""),"https://www.sec.gov/cgi-bin/browse-edgar?CIK=1802450")</f>
        <v>https://www.sec.gov/cgi-bin/browse-edgar?CIK=1802450</v>
      </c>
      <c r="V447" s="72" t="str">
        <f>IFERROR(__xludf.DUMMYFUNCTION("""COMPUTED_VALUE""")," Trading Below $10 (Common)           ")</f>
        <v> Trading Below $10 (Common)           </v>
      </c>
      <c r="W447" s="73"/>
      <c r="X447" s="74"/>
      <c r="Y447" s="75"/>
      <c r="Z447" s="60"/>
      <c r="AA447" s="60"/>
      <c r="AB447" s="60"/>
      <c r="AC447" s="60"/>
      <c r="AD447" s="73"/>
      <c r="AE447" s="73"/>
      <c r="AF447" s="76"/>
      <c r="AG447" s="60" t="str">
        <f>IFERROR(__xludf.DUMMYFUNCTION("""COMPUTED_VALUE"""),"")</f>
        <v/>
      </c>
    </row>
    <row r="448">
      <c r="A448" s="54" t="str">
        <f>IFERROR(__xludf.DUMMYFUNCTION("""COMPUTED_VALUE"""),"LCP")</f>
        <v>LCP</v>
      </c>
      <c r="B448" s="55" t="str">
        <f>IFERROR(__xludf.DUMMYFUNCTION("""COMPUTED_VALUE"""),"LCP Acquisition Corp.
")</f>
        <v>LCP Acquisition Corp.
</v>
      </c>
      <c r="C448" s="56" t="str">
        <f>IFERROR(__xludf.DUMMYFUNCTION("""COMPUTED_VALUE"""),"Pre IPO")</f>
        <v>Pre IPO</v>
      </c>
      <c r="D448" s="57" t="str">
        <f>IFERROR(__xludf.DUMMYFUNCTION("""COMPUTED_VALUE"""),"Travel, Leisure &amp; Hospitality")</f>
        <v>Travel, Leisure &amp; Hospitality</v>
      </c>
      <c r="E448" s="58"/>
      <c r="F448" s="59" t="str">
        <f>IFERROR(__xludf.DUMMYFUNCTION("""COMPUTED_VALUE"""),"Steven Goldman (Fmr CEO, FelCor Lodging Trust and Sunstone Hotel Investors), Robert Roskind (Founder, Lexington Realty Trust)")</f>
        <v>Steven Goldman (Fmr CEO, FelCor Lodging Trust and Sunstone Hotel Investors), Robert Roskind (Founder, Lexington Realty Trust)</v>
      </c>
      <c r="G448" s="60">
        <f>IFERROR(__xludf.DUMMYFUNCTION("""COMPUTED_VALUE"""),2.0E8)</f>
        <v>200000000</v>
      </c>
      <c r="H448" s="60" t="str">
        <f>IFERROR(__xludf.DUMMYFUNCTION("""COMPUTED_VALUE""")," ")</f>
        <v> </v>
      </c>
      <c r="I448" s="61" t="str">
        <f>IFERROR(__xludf.DUMMYFUNCTION("""COMPUTED_VALUE""")," ")</f>
        <v> </v>
      </c>
      <c r="J448" s="62" t="str">
        <f>IFERROR(__xludf.DUMMYFUNCTION("""COMPUTED_VALUE""")," ")</f>
        <v> </v>
      </c>
      <c r="K448" s="59" t="str">
        <f>IFERROR(__xludf.DUMMYFUNCTION("""COMPUTED_VALUE""")," ")</f>
        <v> </v>
      </c>
      <c r="L448" s="63" t="str">
        <f>IFERROR(__xludf.DUMMYFUNCTION("""COMPUTED_VALUE""")," ")</f>
        <v> </v>
      </c>
      <c r="M448" s="64" t="str">
        <f>IFERROR(__xludf.DUMMYFUNCTION("""COMPUTED_VALUE"""),"U: [1/2 W]; W: [1:1, $11.5]")</f>
        <v>U: [1/2 W]; W: [1:1, $11.5]</v>
      </c>
      <c r="N448" s="65" t="str">
        <f>IFERROR(__xludf.DUMMYFUNCTION("""COMPUTED_VALUE"""),"")</f>
        <v/>
      </c>
      <c r="O448" s="66" t="str">
        <f>IFERROR(__xludf.DUMMYFUNCTION("""COMPUTED_VALUE"""),"")</f>
        <v/>
      </c>
      <c r="P448" s="67"/>
      <c r="Q448" s="68">
        <f>IFERROR(__xludf.DUMMYFUNCTION("""COMPUTED_VALUE"""),200.0)</f>
        <v>200</v>
      </c>
      <c r="R448" s="85" t="str">
        <f>IFERROR(__xludf.DUMMYFUNCTION("""COMPUTED_VALUE"""),"B. Riley Securities")</f>
        <v>B. Riley Securities</v>
      </c>
      <c r="S448" s="64">
        <f>IFERROR(__xludf.DUMMYFUNCTION("""COMPUTED_VALUE"""),45086.0)</f>
        <v>45086</v>
      </c>
      <c r="T448" s="70" t="str">
        <f>IFERROR(__xludf.DUMMYFUNCTION("""COMPUTED_VALUE"""),"")</f>
        <v/>
      </c>
      <c r="U448" s="71" t="str">
        <f>IFERROR(__xludf.DUMMYFUNCTION("""COMPUTED_VALUE"""),"https://www.sec.gov/cgi-bin/browse-edgar?CIK=1823525")</f>
        <v>https://www.sec.gov/cgi-bin/browse-edgar?CIK=1823525</v>
      </c>
      <c r="V448" s="72" t="str">
        <f>IFERROR(__xludf.DUMMYFUNCTION("""COMPUTED_VALUE"""),"            ")</f>
        <v>            </v>
      </c>
      <c r="W448" s="73"/>
      <c r="X448" s="74"/>
      <c r="Y448" s="75"/>
      <c r="Z448" s="60"/>
      <c r="AA448" s="60"/>
      <c r="AB448" s="60"/>
      <c r="AC448" s="60"/>
      <c r="AD448" s="73"/>
      <c r="AE448" s="73"/>
      <c r="AF448" s="76"/>
      <c r="AG448" s="60" t="str">
        <f>IFERROR(__xludf.DUMMYFUNCTION("""COMPUTED_VALUE"""),"")</f>
        <v/>
      </c>
    </row>
    <row r="449">
      <c r="A449" s="54" t="str">
        <f>IFERROR(__xludf.DUMMYFUNCTION("""COMPUTED_VALUE"""),"LCW")</f>
        <v>LCW</v>
      </c>
      <c r="B449" s="55" t="str">
        <f>IFERROR(__xludf.DUMMYFUNCTION("""COMPUTED_VALUE"""),"Learn CW Investment Corp")</f>
        <v>Learn CW Investment Corp</v>
      </c>
      <c r="C449" s="56" t="str">
        <f>IFERROR(__xludf.DUMMYFUNCTION("""COMPUTED_VALUE"""),"Pre IPO")</f>
        <v>Pre IPO</v>
      </c>
      <c r="D449" s="57"/>
      <c r="E449" s="58"/>
      <c r="F449" s="59"/>
      <c r="G449" s="60">
        <f>IFERROR(__xludf.DUMMYFUNCTION("""COMPUTED_VALUE"""),2.5E8)</f>
        <v>250000000</v>
      </c>
      <c r="H449" s="60" t="str">
        <f>IFERROR(__xludf.DUMMYFUNCTION("""COMPUTED_VALUE""")," ")</f>
        <v> </v>
      </c>
      <c r="I449" s="61" t="str">
        <f>IFERROR(__xludf.DUMMYFUNCTION("""COMPUTED_VALUE""")," ")</f>
        <v> </v>
      </c>
      <c r="J449" s="62" t="str">
        <f>IFERROR(__xludf.DUMMYFUNCTION("""COMPUTED_VALUE""")," ")</f>
        <v> </v>
      </c>
      <c r="K449" s="59" t="str">
        <f>IFERROR(__xludf.DUMMYFUNCTION("""COMPUTED_VALUE""")," ")</f>
        <v> </v>
      </c>
      <c r="L449" s="63" t="str">
        <f>IFERROR(__xludf.DUMMYFUNCTION("""COMPUTED_VALUE""")," ")</f>
        <v> </v>
      </c>
      <c r="M449" s="64" t="str">
        <f>IFERROR(__xludf.DUMMYFUNCTION("""COMPUTED_VALUE"""),"U: [1/3 W]; W: [1:1, $11.5]")</f>
        <v>U: [1/3 W]; W: [1:1, $11.5]</v>
      </c>
      <c r="N449" s="65" t="str">
        <f>IFERROR(__xludf.DUMMYFUNCTION("""COMPUTED_VALUE"""),"")</f>
        <v/>
      </c>
      <c r="O449" s="66">
        <f>IFERROR(__xludf.DUMMYFUNCTION("""COMPUTED_VALUE"""),0.0)</f>
        <v>0</v>
      </c>
      <c r="P449" s="67"/>
      <c r="Q449" s="68">
        <f>IFERROR(__xludf.DUMMYFUNCTION("""COMPUTED_VALUE"""),250.0)</f>
        <v>250</v>
      </c>
      <c r="R449" s="69" t="str">
        <f>IFERROR(__xludf.DUMMYFUNCTION("""COMPUTED_VALUE"""),"Evercore ISI")</f>
        <v>Evercore ISI</v>
      </c>
      <c r="S449" s="64">
        <f>IFERROR(__xludf.DUMMYFUNCTION("""COMPUTED_VALUE"""),45086.0)</f>
        <v>45086</v>
      </c>
      <c r="T449" s="70" t="str">
        <f>IFERROR(__xludf.DUMMYFUNCTION("""COMPUTED_VALUE"""),"")</f>
        <v/>
      </c>
      <c r="U449" s="71" t="str">
        <f>IFERROR(__xludf.DUMMYFUNCTION("""COMPUTED_VALUE"""),"https://www.sec.gov/cgi-bin/browse-edgar?CIK=1847577")</f>
        <v>https://www.sec.gov/cgi-bin/browse-edgar?CIK=1847577</v>
      </c>
      <c r="V449" s="72" t="str">
        <f>IFERROR(__xludf.DUMMYFUNCTION("""COMPUTED_VALUE"""),"            ")</f>
        <v>            </v>
      </c>
      <c r="W449" s="73"/>
      <c r="X449" s="74"/>
      <c r="Y449" s="75"/>
      <c r="Z449" s="60"/>
      <c r="AA449" s="60"/>
      <c r="AB449" s="60"/>
      <c r="AC449" s="60"/>
      <c r="AD449" s="73"/>
      <c r="AE449" s="73"/>
      <c r="AF449" s="76"/>
      <c r="AG449" s="60"/>
    </row>
    <row r="450">
      <c r="A450" s="54" t="str">
        <f>IFERROR(__xludf.DUMMYFUNCTION("""COMPUTED_VALUE"""),"LCY")</f>
        <v>LCY</v>
      </c>
      <c r="B450" s="55" t="str">
        <f>IFERROR(__xludf.DUMMYFUNCTION("""COMPUTED_VALUE"""),"Landcadia Holdings III, Inc.​")</f>
        <v>Landcadia Holdings III, Inc.​</v>
      </c>
      <c r="C450" s="56" t="str">
        <f>IFERROR(__xludf.DUMMYFUNCTION("""COMPUTED_VALUE"""),"Definitive Agreement")</f>
        <v>Definitive Agreement</v>
      </c>
      <c r="D450" s="57" t="str">
        <f>IFERROR(__xludf.DUMMYFUNCTION("""COMPUTED_VALUE"""),"Consumer, Dining, Hospitality, Entertainment, Gaming, Tech")</f>
        <v>Consumer, Dining, Hospitality, Entertainment, Gaming, Tech</v>
      </c>
      <c r="E450" s="58" t="str">
        <f>IFERROR(__xludf.DUMMYFUNCTION("""COMPUTED_VALUE"""),"Hillman Group [DA: 01/25/21]")</f>
        <v>Hillman Group [DA: 01/25/21]</v>
      </c>
      <c r="F450" s="59" t="str">
        <f>IFERROR(__xludf.DUMMYFUNCTION("""COMPUTED_VALUE"""),"Tilman Fertitta (Houston Rockets owner, CEO of Landry's)")</f>
        <v>Tilman Fertitta (Houston Rockets owner, CEO of Landry's)</v>
      </c>
      <c r="G450" s="60">
        <f>IFERROR(__xludf.DUMMYFUNCTION("""COMPUTED_VALUE"""),5.0E8)</f>
        <v>500000000</v>
      </c>
      <c r="H450" s="60">
        <f>IFERROR(__xludf.DUMMYFUNCTION("""COMPUTED_VALUE"""),5.205E8)</f>
        <v>520500000</v>
      </c>
      <c r="I450" s="61">
        <f>IFERROR(__xludf.DUMMYFUNCTION("""COMPUTED_VALUE"""),10.41)</f>
        <v>10.41</v>
      </c>
      <c r="J450" s="62">
        <f>IFERROR(__xludf.DUMMYFUNCTION("""COMPUTED_VALUE"""),-0.00857)</f>
        <v>-0.00857</v>
      </c>
      <c r="K450" s="59" t="str">
        <f>IFERROR(__xludf.DUMMYFUNCTION("""COMPUTED_VALUE""")," ")</f>
        <v> </v>
      </c>
      <c r="L450" s="63" t="str">
        <f>IFERROR(__xludf.DUMMYFUNCTION("""COMPUTED_VALUE""")," ")</f>
        <v> </v>
      </c>
      <c r="M450" s="64" t="str">
        <f>IFERROR(__xludf.DUMMYFUNCTION("""COMPUTED_VALUE"""),"U: [1/3 W]; W: [1:1, $11.5]")</f>
        <v>U: [1/3 W]; W: [1:1, $11.5]</v>
      </c>
      <c r="N450" s="65" t="str">
        <f>IFERROR(__xludf.DUMMYFUNCTION("""COMPUTED_VALUE"""),"")</f>
        <v/>
      </c>
      <c r="O450" s="66">
        <f>IFERROR(__xludf.DUMMYFUNCTION("""COMPUTED_VALUE"""),0.0)</f>
        <v>0</v>
      </c>
      <c r="P450" s="67">
        <f>IFERROR(__xludf.DUMMYFUNCTION("""COMPUTED_VALUE"""),44112.0)</f>
        <v>44112</v>
      </c>
      <c r="Q450" s="68">
        <f>IFERROR(__xludf.DUMMYFUNCTION("""COMPUTED_VALUE"""),500.0)</f>
        <v>500</v>
      </c>
      <c r="R450" s="85" t="str">
        <f>IFERROR(__xludf.DUMMYFUNCTION("""COMPUTED_VALUE"""),"Jefferies")</f>
        <v>Jefferies</v>
      </c>
      <c r="S450" s="64">
        <f>IFERROR(__xludf.DUMMYFUNCTION("""COMPUTED_VALUE"""),44842.0)</f>
        <v>44842</v>
      </c>
      <c r="T450" s="70">
        <f>IFERROR(__xludf.DUMMYFUNCTION("""COMPUTED_VALUE"""),0.25205479452054796)</f>
        <v>0.2520547945</v>
      </c>
      <c r="U450" s="71" t="str">
        <f>IFERROR(__xludf.DUMMYFUNCTION("""COMPUTED_VALUE"""),"https://www.sec.gov/cgi-bin/browse-edgar?CIK=1822492")</f>
        <v>https://www.sec.gov/cgi-bin/browse-edgar?CIK=1822492</v>
      </c>
      <c r="V450" s="72" t="str">
        <f>IFERROR(__xludf.DUMMYFUNCTION("""COMPUTED_VALUE"""),"   $500M+ Trust Optionable    Well-known Sponsor Serial Sponsor  ")</f>
        <v>   $500M+ Trust Optionable    Well-known Sponsor Serial Sponsor  </v>
      </c>
      <c r="W450" s="73">
        <f>IFERROR(__xludf.DUMMYFUNCTION("""COMPUTED_VALUE"""),44221.0)</f>
        <v>44221</v>
      </c>
      <c r="X450" s="79">
        <f>IFERROR(__xludf.DUMMYFUNCTION("""COMPUTED_VALUE"""),3.6333333333333333)</f>
        <v>3.633333333</v>
      </c>
      <c r="Y450" s="80" t="str">
        <f>IFERROR(__xludf.DUMMYFUNCTION("""COMPUTED_VALUE"""),"https://www.globenewswire.com/news-release/2021/01/25/2163346/0/en/THE-HILLMAN-GROUP-A-LEADING-VALUE-ADDED-SPECIALTY-DISTRIBUTOR-OF-HARDWARE-AND-HOME-IMPROVEMENT-PRODUCTS-TO-BECOME-PUBLIC-COMPANY.html")</f>
        <v>https://www.globenewswire.com/news-release/2021/01/25/2163346/0/en/THE-HILLMAN-GROUP-A-LEADING-VALUE-ADDED-SPECIALTY-DISTRIBUTOR-OF-HARDWARE-AND-HOME-IMPROVEMENT-PRODUCTS-TO-BECOME-PUBLIC-COMPANY.html</v>
      </c>
      <c r="Z450" s="81" t="str">
        <f>IFERROR(__xludf.DUMMYFUNCTION("""COMPUTED_VALUE"""),"https://www.sec.gov/Archives/edgar/data/1822492/000110465921006849/tm213996d3_ex99-2.htm")</f>
        <v>https://www.sec.gov/Archives/edgar/data/1822492/000110465921006849/tm213996d3_ex99-2.htm</v>
      </c>
      <c r="AA450" s="60">
        <f>IFERROR(__xludf.DUMMYFUNCTION("""COMPUTED_VALUE"""),3.75E8)</f>
        <v>375000000</v>
      </c>
      <c r="AB450" s="60">
        <f>IFERROR(__xludf.DUMMYFUNCTION("""COMPUTED_VALUE"""),1.901E9)</f>
        <v>1901000000</v>
      </c>
      <c r="AC450" s="60">
        <f>IFERROR(__xludf.DUMMYFUNCTION("""COMPUTED_VALUE"""),2.642E9)</f>
        <v>2642000000</v>
      </c>
      <c r="AD450" s="73"/>
      <c r="AE450" s="73"/>
      <c r="AF450" s="76">
        <f>IFERROR(__xludf.DUMMYFUNCTION("""COMPUTED_VALUE"""),1.901E8)</f>
        <v>190100000</v>
      </c>
      <c r="AG450" s="60">
        <f>IFERROR(__xludf.DUMMYFUNCTION("""COMPUTED_VALUE"""),1.978941E9)</f>
        <v>1978941000</v>
      </c>
    </row>
    <row r="451">
      <c r="A451" s="54" t="str">
        <f>IFERROR(__xludf.DUMMYFUNCTION("""COMPUTED_VALUE"""),"LDHA")</f>
        <v>LDHA</v>
      </c>
      <c r="B451" s="55" t="str">
        <f>IFERROR(__xludf.DUMMYFUNCTION("""COMPUTED_VALUE"""),"LDH Growth Corp I")</f>
        <v>LDH Growth Corp I</v>
      </c>
      <c r="C451" s="56" t="str">
        <f>IFERROR(__xludf.DUMMYFUNCTION("""COMPUTED_VALUE"""),"Searching (Pre Unit Split)")</f>
        <v>Searching (Pre Unit Split)</v>
      </c>
      <c r="D451" s="57" t="str">
        <f>IFERROR(__xludf.DUMMYFUNCTION("""COMPUTED_VALUE"""),"Tech, IoT, Artificial Intelligence, Latin America")</f>
        <v>Tech, IoT, Artificial Intelligence, Latin America</v>
      </c>
      <c r="E451" s="58"/>
      <c r="F451" s="59" t="str">
        <f>IFERROR(__xludf.DUMMYFUNCTION("""COMPUTED_VALUE"""),"SoftBank Group, Marcelo Claure (President/COO, SoftBank Group; Chairman, Fortress Investment Group; Exec Chairman, WeWork; Fmr CEO, Sprint; Founder/Fmr CEO, Brightstar), Michael Combes (Pres, SoftBank Group International; Fmr CEO, Sprint; Fmr CEO, Alcatel"&amp;"-Lucent)")</f>
        <v>SoftBank Group, Marcelo Claure (President/COO, SoftBank Group; Chairman, Fortress Investment Group; Exec Chairman, WeWork; Fmr CEO, Sprint; Founder/Fmr CEO, Brightstar), Michael Combes (Pres, SoftBank Group International; Fmr CEO, Sprint; Fmr CEO, Alcatel-Lucent)</v>
      </c>
      <c r="G451" s="60">
        <f>IFERROR(__xludf.DUMMYFUNCTION("""COMPUTED_VALUE"""),2.3E8)</f>
        <v>230000000</v>
      </c>
      <c r="H451" s="60" t="str">
        <f>IFERROR(__xludf.DUMMYFUNCTION("""COMPUTED_VALUE""")," ")</f>
        <v> </v>
      </c>
      <c r="I451" s="61" t="str">
        <f>IFERROR(__xludf.DUMMYFUNCTION("""COMPUTED_VALUE""")," ")</f>
        <v> </v>
      </c>
      <c r="J451" s="62" t="str">
        <f>IFERROR(__xludf.DUMMYFUNCTION("""COMPUTED_VALUE""")," ")</f>
        <v> </v>
      </c>
      <c r="K451" s="59">
        <f>IFERROR(__xludf.DUMMYFUNCTION("""COMPUTED_VALUE"""),10.15)</f>
        <v>10.15</v>
      </c>
      <c r="L451" s="63" t="str">
        <f>IFERROR(__xludf.DUMMYFUNCTION("""COMPUTED_VALUE""")," ")</f>
        <v> </v>
      </c>
      <c r="M451" s="64" t="str">
        <f>IFERROR(__xludf.DUMMYFUNCTION("""COMPUTED_VALUE"""),"U: [1/5 W]; W: [1:1, $11.5]")</f>
        <v>U: [1/5 W]; W: [1:1, $11.5]</v>
      </c>
      <c r="N451" s="65">
        <f>IFERROR(__xludf.DUMMYFUNCTION("""COMPUTED_VALUE"""),44325.0)</f>
        <v>44325</v>
      </c>
      <c r="O451" s="66" t="str">
        <f>IFERROR(__xludf.DUMMYFUNCTION("""COMPUTED_VALUE"""),"")</f>
        <v/>
      </c>
      <c r="P451" s="67">
        <f>IFERROR(__xludf.DUMMYFUNCTION("""COMPUTED_VALUE"""),44273.0)</f>
        <v>44273</v>
      </c>
      <c r="Q451" s="68">
        <f>IFERROR(__xludf.DUMMYFUNCTION("""COMPUTED_VALUE"""),230.0)</f>
        <v>230</v>
      </c>
      <c r="R451" s="85" t="str">
        <f>IFERROR(__xludf.DUMMYFUNCTION("""COMPUTED_VALUE"""),"Citigroup, JP Morgan")</f>
        <v>Citigroup, JP Morgan</v>
      </c>
      <c r="S451" s="64">
        <f>IFERROR(__xludf.DUMMYFUNCTION("""COMPUTED_VALUE"""),45003.0)</f>
        <v>45003</v>
      </c>
      <c r="T451" s="70">
        <f>IFERROR(__xludf.DUMMYFUNCTION("""COMPUTED_VALUE"""),0.031506849315068496)</f>
        <v>0.03150684932</v>
      </c>
      <c r="U451" s="71" t="str">
        <f>IFERROR(__xludf.DUMMYFUNCTION("""COMPUTED_VALUE"""),"https://www.sec.gov/cgi-bin/browse-edgar?CIK=1842373")</f>
        <v>https://www.sec.gov/cgi-bin/browse-edgar?CIK=1842373</v>
      </c>
      <c r="V451" s="72" t="str">
        <f>IFERROR(__xludf.DUMMYFUNCTION("""COMPUTED_VALUE"""),"         Well-known Sponsor Serial Sponsor Top Tier UW ")</f>
        <v>         Well-known Sponsor Serial Sponsor Top Tier UW </v>
      </c>
      <c r="W451" s="73"/>
      <c r="X451" s="74"/>
      <c r="Y451" s="75"/>
      <c r="Z451" s="60"/>
      <c r="AA451" s="60"/>
      <c r="AB451" s="60"/>
      <c r="AC451" s="60"/>
      <c r="AD451" s="73"/>
      <c r="AE451" s="73"/>
      <c r="AF451" s="76"/>
      <c r="AG451" s="60" t="str">
        <f>IFERROR(__xludf.DUMMYFUNCTION("""COMPUTED_VALUE"""),"")</f>
        <v/>
      </c>
    </row>
    <row r="452">
      <c r="A452" s="54" t="str">
        <f>IFERROR(__xludf.DUMMYFUNCTION("""COMPUTED_VALUE"""),"LEAP")</f>
        <v>LEAP</v>
      </c>
      <c r="B452" s="55" t="str">
        <f>IFERROR(__xludf.DUMMYFUNCTION("""COMPUTED_VALUE"""),"Ribbit LEAP, Ltd.")</f>
        <v>Ribbit LEAP, Ltd.</v>
      </c>
      <c r="C452" s="56" t="str">
        <f>IFERROR(__xludf.DUMMYFUNCTION("""COMPUTED_VALUE"""),"Searching")</f>
        <v>Searching</v>
      </c>
      <c r="D452" s="57" t="str">
        <f>IFERROR(__xludf.DUMMYFUNCTION("""COMPUTED_VALUE"""),"Fintech")</f>
        <v>Fintech</v>
      </c>
      <c r="E452" s="58"/>
      <c r="F452" s="59" t="str">
        <f>IFERROR(__xludf.DUMMYFUNCTION("""COMPUTED_VALUE"""),"Meyer Malka, Founder of Ribbit Capital (VC firm invested in Robinhood, Coinbase, Brex)")</f>
        <v>Meyer Malka, Founder of Ribbit Capital (VC firm invested in Robinhood, Coinbase, Brex)</v>
      </c>
      <c r="G452" s="60">
        <f>IFERROR(__xludf.DUMMYFUNCTION("""COMPUTED_VALUE"""),4.025E8)</f>
        <v>402500000</v>
      </c>
      <c r="H452" s="60">
        <f>IFERROR(__xludf.DUMMYFUNCTION("""COMPUTED_VALUE"""),4.760827E8)</f>
        <v>476082700</v>
      </c>
      <c r="I452" s="61">
        <f>IFERROR(__xludf.DUMMYFUNCTION("""COMPUTED_VALUE"""),11.54)</f>
        <v>11.54</v>
      </c>
      <c r="J452" s="62">
        <f>IFERROR(__xludf.DUMMYFUNCTION("""COMPUTED_VALUE"""),-0.02616)</f>
        <v>-0.02616</v>
      </c>
      <c r="K452" s="59">
        <f>IFERROR(__xludf.DUMMYFUNCTION("""COMPUTED_VALUE"""),12.59)</f>
        <v>12.59</v>
      </c>
      <c r="L452" s="63">
        <f>IFERROR(__xludf.DUMMYFUNCTION("""COMPUTED_VALUE"""),3.0)</f>
        <v>3</v>
      </c>
      <c r="M452" s="64" t="str">
        <f>IFERROR(__xludf.DUMMYFUNCTION("""COMPUTED_VALUE"""),"U: [1/5 W]; W: [1:1, $11.5]")</f>
        <v>U: [1/5 W]; W: [1:1, $11.5]</v>
      </c>
      <c r="N452" s="65" t="str">
        <f>IFERROR(__xludf.DUMMYFUNCTION("""COMPUTED_VALUE"""),"")</f>
        <v/>
      </c>
      <c r="O452" s="66">
        <f>IFERROR(__xludf.DUMMYFUNCTION("""COMPUTED_VALUE"""),0.03999999999999915)</f>
        <v>0.04</v>
      </c>
      <c r="P452" s="67">
        <f>IFERROR(__xludf.DUMMYFUNCTION("""COMPUTED_VALUE"""),44085.0)</f>
        <v>44085</v>
      </c>
      <c r="Q452" s="68">
        <f>IFERROR(__xludf.DUMMYFUNCTION("""COMPUTED_VALUE"""),402.5)</f>
        <v>402.5</v>
      </c>
      <c r="R452" s="85" t="str">
        <f>IFERROR(__xludf.DUMMYFUNCTION("""COMPUTED_VALUE"""),"JP Morgan")</f>
        <v>JP Morgan</v>
      </c>
      <c r="S452" s="64">
        <f>IFERROR(__xludf.DUMMYFUNCTION("""COMPUTED_VALUE"""),44815.0)</f>
        <v>44815</v>
      </c>
      <c r="T452" s="70">
        <f>IFERROR(__xludf.DUMMYFUNCTION("""COMPUTED_VALUE"""),0.28904109589041094)</f>
        <v>0.2890410959</v>
      </c>
      <c r="U452" s="71" t="str">
        <f>IFERROR(__xludf.DUMMYFUNCTION("""COMPUTED_VALUE"""),"https://www.sec.gov/cgi-bin/browse-edgar?CIK=1818346")</f>
        <v>https://www.sec.gov/cgi-bin/browse-edgar?CIK=1818346</v>
      </c>
      <c r="V452" s="72" t="str">
        <f>IFERROR(__xludf.DUMMYFUNCTION("""COMPUTED_VALUE"""),"Venture Capital     Optionable    Well-known Sponsor  Top Tier UW ")</f>
        <v>Venture Capital     Optionable    Well-known Sponsor  Top Tier UW </v>
      </c>
      <c r="W452" s="73"/>
      <c r="X452" s="74"/>
      <c r="Y452" s="75"/>
      <c r="Z452" s="60"/>
      <c r="AA452" s="60"/>
      <c r="AB452" s="60"/>
      <c r="AC452" s="60"/>
      <c r="AD452" s="73"/>
      <c r="AE452" s="73"/>
      <c r="AF452" s="76"/>
      <c r="AG452" s="60" t="str">
        <f>IFERROR(__xludf.DUMMYFUNCTION("""COMPUTED_VALUE"""),"")</f>
        <v/>
      </c>
    </row>
    <row r="453">
      <c r="A453" s="54" t="str">
        <f>IFERROR(__xludf.DUMMYFUNCTION("""COMPUTED_VALUE"""),"LEGA")</f>
        <v>LEGA</v>
      </c>
      <c r="B453" s="55" t="str">
        <f>IFERROR(__xludf.DUMMYFUNCTION("""COMPUTED_VALUE"""),"Lead Edge Growth Opportunities, Ltd")</f>
        <v>Lead Edge Growth Opportunities, Ltd</v>
      </c>
      <c r="C453" s="56" t="str">
        <f>IFERROR(__xludf.DUMMYFUNCTION("""COMPUTED_VALUE"""),"Searching (Pre Unit Split)")</f>
        <v>Searching (Pre Unit Split)</v>
      </c>
      <c r="D453" s="77" t="str">
        <f>IFERROR(__xludf.DUMMYFUNCTION("""COMPUTED_VALUE"""),"Software, Internet, Tech")</f>
        <v>Software, Internet, Tech</v>
      </c>
      <c r="E453" s="58"/>
      <c r="F453" s="59" t="str">
        <f>IFERROR(__xludf.DUMMYFUNCTION("""COMPUTED_VALUE"""),"Mitchell Green (Founder &amp; GP of Lead Edge), Meg Whitman (Former CEO of HP, Former CEO of eBay, Former CEO of Quibi, and Director of Procter &amp; Gamble)")</f>
        <v>Mitchell Green (Founder &amp; GP of Lead Edge), Meg Whitman (Former CEO of HP, Former CEO of eBay, Former CEO of Quibi, and Director of Procter &amp; Gamble)</v>
      </c>
      <c r="G453" s="60">
        <f>IFERROR(__xludf.DUMMYFUNCTION("""COMPUTED_VALUE"""),3.0E8)</f>
        <v>300000000</v>
      </c>
      <c r="H453" s="60" t="str">
        <f>IFERROR(__xludf.DUMMYFUNCTION("""COMPUTED_VALUE""")," ")</f>
        <v> </v>
      </c>
      <c r="I453" s="61" t="str">
        <f>IFERROR(__xludf.DUMMYFUNCTION("""COMPUTED_VALUE""")," ")</f>
        <v> </v>
      </c>
      <c r="J453" s="62" t="str">
        <f>IFERROR(__xludf.DUMMYFUNCTION("""COMPUTED_VALUE""")," ")</f>
        <v> </v>
      </c>
      <c r="K453" s="59">
        <f>IFERROR(__xludf.DUMMYFUNCTION("""COMPUTED_VALUE"""),10.0)</f>
        <v>10</v>
      </c>
      <c r="L453" s="63" t="str">
        <f>IFERROR(__xludf.DUMMYFUNCTION("""COMPUTED_VALUE""")," ")</f>
        <v> </v>
      </c>
      <c r="M453" s="64" t="str">
        <f>IFERROR(__xludf.DUMMYFUNCTION("""COMPUTED_VALUE"""),"U: [1/4 W]; W: [1:1, $11.5]")</f>
        <v>U: [1/4 W]; W: [1:1, $11.5]</v>
      </c>
      <c r="N453" s="65">
        <f>IFERROR(__xludf.DUMMYFUNCTION("""COMPUTED_VALUE"""),44329.0)</f>
        <v>44329</v>
      </c>
      <c r="O453" s="66">
        <f>IFERROR(__xludf.DUMMYFUNCTION("""COMPUTED_VALUE"""),0.0)</f>
        <v>0</v>
      </c>
      <c r="P453" s="67">
        <f>IFERROR(__xludf.DUMMYFUNCTION("""COMPUTED_VALUE"""),44277.0)</f>
        <v>44277</v>
      </c>
      <c r="Q453" s="68">
        <f>IFERROR(__xludf.DUMMYFUNCTION("""COMPUTED_VALUE"""),300.0)</f>
        <v>300</v>
      </c>
      <c r="R453" s="69" t="str">
        <f>IFERROR(__xludf.DUMMYFUNCTION("""COMPUTED_VALUE"""),"Credit Suisse, J.P.Morgan")</f>
        <v>Credit Suisse, J.P.Morgan</v>
      </c>
      <c r="S453" s="64">
        <f>IFERROR(__xludf.DUMMYFUNCTION("""COMPUTED_VALUE"""),45007.0)</f>
        <v>45007</v>
      </c>
      <c r="T453" s="70">
        <f>IFERROR(__xludf.DUMMYFUNCTION("""COMPUTED_VALUE"""),0.026027397260273973)</f>
        <v>0.02602739726</v>
      </c>
      <c r="U453" s="71" t="str">
        <f>IFERROR(__xludf.DUMMYFUNCTION("""COMPUTED_VALUE"""),"https://www.sec.gov/cgi-bin/browse-edgar?CIK=1834628")</f>
        <v>https://www.sec.gov/cgi-bin/browse-edgar?CIK=1834628</v>
      </c>
      <c r="V453" s="72" t="str">
        <f>IFERROR(__xludf.DUMMYFUNCTION("""COMPUTED_VALUE"""),"         Well-known Sponsor   ")</f>
        <v>         Well-known Sponsor   </v>
      </c>
      <c r="W453" s="73"/>
      <c r="X453" s="74"/>
      <c r="Y453" s="75"/>
      <c r="Z453" s="60"/>
      <c r="AA453" s="60"/>
      <c r="AB453" s="60"/>
      <c r="AC453" s="60"/>
      <c r="AD453" s="73"/>
      <c r="AE453" s="73"/>
      <c r="AF453" s="76"/>
      <c r="AG453" s="60"/>
    </row>
    <row r="454">
      <c r="A454" s="54" t="str">
        <f>IFERROR(__xludf.DUMMYFUNCTION("""COMPUTED_VALUE"""),"LEGO")</f>
        <v>LEGO</v>
      </c>
      <c r="B454" s="55" t="str">
        <f>IFERROR(__xludf.DUMMYFUNCTION("""COMPUTED_VALUE"""),"Legato Merger Corp.")</f>
        <v>Legato Merger Corp.</v>
      </c>
      <c r="C454" s="56" t="str">
        <f>IFERROR(__xludf.DUMMYFUNCTION("""COMPUTED_VALUE"""),"Searching")</f>
        <v>Searching</v>
      </c>
      <c r="D454" s="57" t="str">
        <f>IFERROR(__xludf.DUMMYFUNCTION("""COMPUTED_VALUE"""),"Renewables, Infrastructure, Energy, Construction, Industrial")</f>
        <v>Renewables, Infrastructure, Energy, Construction, Industrial</v>
      </c>
      <c r="E454" s="58"/>
      <c r="F454" s="59" t="str">
        <f>IFERROR(__xludf.DUMMYFUNCTION("""COMPUTED_VALUE"""),"Eric Rosenfeld (Fmr CEO, Allegro Merger Corp; CEO, Crescendo Partners)")</f>
        <v>Eric Rosenfeld (Fmr CEO, Allegro Merger Corp; CEO, Crescendo Partners)</v>
      </c>
      <c r="G454" s="60">
        <f>IFERROR(__xludf.DUMMYFUNCTION("""COMPUTED_VALUE"""),2.05E8)</f>
        <v>205000000</v>
      </c>
      <c r="H454" s="60">
        <f>IFERROR(__xludf.DUMMYFUNCTION("""COMPUTED_VALUE"""),2.97312023E8)</f>
        <v>297312023</v>
      </c>
      <c r="I454" s="61">
        <f>IFERROR(__xludf.DUMMYFUNCTION("""COMPUTED_VALUE"""),9.81)</f>
        <v>9.81</v>
      </c>
      <c r="J454" s="62"/>
      <c r="K454" s="59">
        <f>IFERROR(__xludf.DUMMYFUNCTION("""COMPUTED_VALUE"""),10.37)</f>
        <v>10.37</v>
      </c>
      <c r="L454" s="63">
        <f>IFERROR(__xludf.DUMMYFUNCTION("""COMPUTED_VALUE"""),0.59)</f>
        <v>0.59</v>
      </c>
      <c r="M454" s="64" t="str">
        <f>IFERROR(__xludf.DUMMYFUNCTION("""COMPUTED_VALUE"""),"U: [1 W]; W: [1:1, $11.5]")</f>
        <v>U: [1 W]; W: [1:1, $11.5]</v>
      </c>
      <c r="N454" s="65">
        <f>IFERROR(__xludf.DUMMYFUNCTION("""COMPUTED_VALUE"""),44259.0)</f>
        <v>44259</v>
      </c>
      <c r="O454" s="66">
        <f>IFERROR(__xludf.DUMMYFUNCTION("""COMPUTED_VALUE"""),0.0)</f>
        <v>0</v>
      </c>
      <c r="P454" s="67">
        <f>IFERROR(__xludf.DUMMYFUNCTION("""COMPUTED_VALUE"""),44215.0)</f>
        <v>44215</v>
      </c>
      <c r="Q454" s="68">
        <f>IFERROR(__xludf.DUMMYFUNCTION("""COMPUTED_VALUE"""),205.0)</f>
        <v>205</v>
      </c>
      <c r="R454" s="85" t="str">
        <f>IFERROR(__xludf.DUMMYFUNCTION("""COMPUTED_VALUE"""),"EarlyBirdCapital")</f>
        <v>EarlyBirdCapital</v>
      </c>
      <c r="S454" s="64">
        <f>IFERROR(__xludf.DUMMYFUNCTION("""COMPUTED_VALUE"""),44762.5)</f>
        <v>44762.5</v>
      </c>
      <c r="T454" s="70">
        <f>IFERROR(__xludf.DUMMYFUNCTION("""COMPUTED_VALUE"""),0.14794520547945206)</f>
        <v>0.1479452055</v>
      </c>
      <c r="U454" s="71" t="str">
        <f>IFERROR(__xludf.DUMMYFUNCTION("""COMPUTED_VALUE"""),"https://www.sec.gov/cgi-bin/browse-edgar?CIK=1820272")</f>
        <v>https://www.sec.gov/cgi-bin/browse-edgar?CIK=1820272</v>
      </c>
      <c r="V454" s="72" t="str">
        <f>IFERROR(__xludf.DUMMYFUNCTION("""COMPUTED_VALUE"""),"Sustainability Trading Below $10 (Common)           ")</f>
        <v>Sustainability Trading Below $10 (Common)           </v>
      </c>
      <c r="W454" s="73"/>
      <c r="X454" s="74"/>
      <c r="Y454" s="75"/>
      <c r="Z454" s="60"/>
      <c r="AA454" s="60"/>
      <c r="AB454" s="60"/>
      <c r="AC454" s="60"/>
      <c r="AD454" s="73"/>
      <c r="AE454" s="73"/>
      <c r="AF454" s="76"/>
      <c r="AG454" s="60" t="str">
        <f>IFERROR(__xludf.DUMMYFUNCTION("""COMPUTED_VALUE"""),"")</f>
        <v/>
      </c>
    </row>
    <row r="455">
      <c r="A455" s="54" t="str">
        <f>IFERROR(__xludf.DUMMYFUNCTION("""COMPUTED_VALUE"""),"LFTA")</f>
        <v>LFTA</v>
      </c>
      <c r="B455" s="55" t="str">
        <f>IFERROR(__xludf.DUMMYFUNCTION("""COMPUTED_VALUE"""),"Lazard Fintech Acquisition Corp. I")</f>
        <v>Lazard Fintech Acquisition Corp. I</v>
      </c>
      <c r="C455" s="56" t="str">
        <f>IFERROR(__xludf.DUMMYFUNCTION("""COMPUTED_VALUE"""),"Pre IPO")</f>
        <v>Pre IPO</v>
      </c>
      <c r="D455" s="77" t="str">
        <f>IFERROR(__xludf.DUMMYFUNCTION("""COMPUTED_VALUE"""),"Fintech")</f>
        <v>Fintech</v>
      </c>
      <c r="E455" s="58"/>
      <c r="F455" s="59"/>
      <c r="G455" s="60">
        <f>IFERROR(__xludf.DUMMYFUNCTION("""COMPUTED_VALUE"""),2.5E8)</f>
        <v>250000000</v>
      </c>
      <c r="H455" s="60" t="str">
        <f>IFERROR(__xludf.DUMMYFUNCTION("""COMPUTED_VALUE""")," ")</f>
        <v> </v>
      </c>
      <c r="I455" s="61" t="str">
        <f>IFERROR(__xludf.DUMMYFUNCTION("""COMPUTED_VALUE""")," ")</f>
        <v> </v>
      </c>
      <c r="J455" s="62" t="str">
        <f>IFERROR(__xludf.DUMMYFUNCTION("""COMPUTED_VALUE""")," ")</f>
        <v> </v>
      </c>
      <c r="K455" s="59" t="str">
        <f>IFERROR(__xludf.DUMMYFUNCTION("""COMPUTED_VALUE""")," ")</f>
        <v> </v>
      </c>
      <c r="L455" s="63" t="str">
        <f>IFERROR(__xludf.DUMMYFUNCTION("""COMPUTED_VALUE""")," ")</f>
        <v> </v>
      </c>
      <c r="M455" s="64" t="str">
        <f>IFERROR(__xludf.DUMMYFUNCTION("""COMPUTED_VALUE"""),"U: [1/5 W]; W: [1:1, $11.5]")</f>
        <v>U: [1/5 W]; W: [1:1, $11.5]</v>
      </c>
      <c r="N455" s="65" t="str">
        <f>IFERROR(__xludf.DUMMYFUNCTION("""COMPUTED_VALUE"""),"")</f>
        <v/>
      </c>
      <c r="O455" s="66">
        <f>IFERROR(__xludf.DUMMYFUNCTION("""COMPUTED_VALUE"""),0.0)</f>
        <v>0</v>
      </c>
      <c r="P455" s="67"/>
      <c r="Q455" s="68">
        <f>IFERROR(__xludf.DUMMYFUNCTION("""COMPUTED_VALUE"""),250.0)</f>
        <v>250</v>
      </c>
      <c r="R455" s="69" t="str">
        <f>IFERROR(__xludf.DUMMYFUNCTION("""COMPUTED_VALUE"""),"Goldman Sachs &amp; Co. LLC")</f>
        <v>Goldman Sachs &amp; Co. LLC</v>
      </c>
      <c r="S455" s="64">
        <f>IFERROR(__xludf.DUMMYFUNCTION("""COMPUTED_VALUE"""),45086.0)</f>
        <v>45086</v>
      </c>
      <c r="T455" s="70" t="str">
        <f>IFERROR(__xludf.DUMMYFUNCTION("""COMPUTED_VALUE"""),"")</f>
        <v/>
      </c>
      <c r="U455" s="71" t="str">
        <f>IFERROR(__xludf.DUMMYFUNCTION("""COMPUTED_VALUE"""),"https://www.sec.gov/cgi-bin/browse-edgar?CIK=1851991")</f>
        <v>https://www.sec.gov/cgi-bin/browse-edgar?CIK=1851991</v>
      </c>
      <c r="V455" s="72" t="str">
        <f>IFERROR(__xludf.DUMMYFUNCTION("""COMPUTED_VALUE"""),"         Well-known Sponsor  Top Tier UW ")</f>
        <v>         Well-known Sponsor  Top Tier UW </v>
      </c>
      <c r="W455" s="73"/>
      <c r="X455" s="74"/>
      <c r="Y455" s="75"/>
      <c r="Z455" s="60"/>
      <c r="AA455" s="60"/>
      <c r="AB455" s="60"/>
      <c r="AC455" s="60"/>
      <c r="AD455" s="73"/>
      <c r="AE455" s="73"/>
      <c r="AF455" s="76"/>
      <c r="AG455" s="60"/>
    </row>
    <row r="456">
      <c r="A456" s="54" t="str">
        <f>IFERROR(__xludf.DUMMYFUNCTION("""COMPUTED_VALUE"""),"LFTR")</f>
        <v>LFTR</v>
      </c>
      <c r="B456" s="55" t="str">
        <f>IFERROR(__xludf.DUMMYFUNCTION("""COMPUTED_VALUE"""),"Lefteris Acquisition Corp.")</f>
        <v>Lefteris Acquisition Corp.</v>
      </c>
      <c r="C456" s="56" t="str">
        <f>IFERROR(__xludf.DUMMYFUNCTION("""COMPUTED_VALUE"""),"Searching")</f>
        <v>Searching</v>
      </c>
      <c r="D456" s="57" t="str">
        <f>IFERROR(__xludf.DUMMYFUNCTION("""COMPUTED_VALUE"""),"Fintech")</f>
        <v>Fintech</v>
      </c>
      <c r="E456" s="58"/>
      <c r="F456" s="59" t="str">
        <f>IFERROR(__xludf.DUMMYFUNCTION("""COMPUTED_VALUE"""),"Karl Roessner (Fmr CEO/Director, ETrade), Asiff Hirji (Fmr COO, Coinbase; Fmr COO TD Ameritrade)")</f>
        <v>Karl Roessner (Fmr CEO/Director, ETrade), Asiff Hirji (Fmr COO, Coinbase; Fmr COO TD Ameritrade)</v>
      </c>
      <c r="G456" s="60">
        <f>IFERROR(__xludf.DUMMYFUNCTION("""COMPUTED_VALUE"""),2.07128528E8)</f>
        <v>207128528</v>
      </c>
      <c r="H456" s="60">
        <f>IFERROR(__xludf.DUMMYFUNCTION("""COMPUTED_VALUE"""),2.07513138E8)</f>
        <v>207513138</v>
      </c>
      <c r="I456" s="61">
        <f>IFERROR(__xludf.DUMMYFUNCTION("""COMPUTED_VALUE"""),10.02)</f>
        <v>10.02</v>
      </c>
      <c r="J456" s="62">
        <f>IFERROR(__xludf.DUMMYFUNCTION("""COMPUTED_VALUE"""),0.00401)</f>
        <v>0.00401</v>
      </c>
      <c r="K456" s="59">
        <f>IFERROR(__xludf.DUMMYFUNCTION("""COMPUTED_VALUE"""),10.59)</f>
        <v>10.59</v>
      </c>
      <c r="L456" s="63">
        <f>IFERROR(__xludf.DUMMYFUNCTION("""COMPUTED_VALUE"""),1.175)</f>
        <v>1.175</v>
      </c>
      <c r="M456" s="64" t="str">
        <f>IFERROR(__xludf.DUMMYFUNCTION("""COMPUTED_VALUE"""),"U: [1/3 W]; W: [1:1, $11.5]")</f>
        <v>U: [1/3 W]; W: [1:1, $11.5]</v>
      </c>
      <c r="N456" s="65" t="str">
        <f>IFERROR(__xludf.DUMMYFUNCTION("""COMPUTED_VALUE"""),"")</f>
        <v/>
      </c>
      <c r="O456" s="66">
        <f>IFERROR(__xludf.DUMMYFUNCTION("""COMPUTED_VALUE"""),0.0)</f>
        <v>0</v>
      </c>
      <c r="P456" s="67">
        <f>IFERROR(__xludf.DUMMYFUNCTION("""COMPUTED_VALUE"""),44124.0)</f>
        <v>44124</v>
      </c>
      <c r="Q456" s="68">
        <f>IFERROR(__xludf.DUMMYFUNCTION("""COMPUTED_VALUE"""),207.09894)</f>
        <v>207.09894</v>
      </c>
      <c r="R456" s="85" t="str">
        <f>IFERROR(__xludf.DUMMYFUNCTION("""COMPUTED_VALUE"""),"Morgan Stanley")</f>
        <v>Morgan Stanley</v>
      </c>
      <c r="S456" s="64">
        <f>IFERROR(__xludf.DUMMYFUNCTION("""COMPUTED_VALUE"""),44854.0)</f>
        <v>44854</v>
      </c>
      <c r="T456" s="70">
        <f>IFERROR(__xludf.DUMMYFUNCTION("""COMPUTED_VALUE"""),0.2356164383561644)</f>
        <v>0.2356164384</v>
      </c>
      <c r="U456" s="71" t="str">
        <f>IFERROR(__xludf.DUMMYFUNCTION("""COMPUTED_VALUE"""),"https://www.sec.gov/cgi-bin/browse-edgar?CIK=1822873")</f>
        <v>https://www.sec.gov/cgi-bin/browse-edgar?CIK=1822873</v>
      </c>
      <c r="V456" s="72" t="str">
        <f>IFERROR(__xludf.DUMMYFUNCTION("""COMPUTED_VALUE"""),"     Optionable      Top Tier UW ")</f>
        <v>     Optionable      Top Tier UW </v>
      </c>
      <c r="W456" s="73"/>
      <c r="X456" s="74"/>
      <c r="Y456" s="75"/>
      <c r="Z456" s="60"/>
      <c r="AA456" s="60"/>
      <c r="AB456" s="60"/>
      <c r="AC456" s="60"/>
      <c r="AD456" s="73"/>
      <c r="AE456" s="73"/>
      <c r="AF456" s="76"/>
      <c r="AG456" s="60" t="str">
        <f>IFERROR(__xludf.DUMMYFUNCTION("""COMPUTED_VALUE"""),"")</f>
        <v/>
      </c>
    </row>
    <row r="457">
      <c r="A457" s="54" t="str">
        <f>IFERROR(__xludf.DUMMYFUNCTION("""COMPUTED_VALUE"""),"LGAC")</f>
        <v>LGAC</v>
      </c>
      <c r="B457" s="55" t="str">
        <f>IFERROR(__xludf.DUMMYFUNCTION("""COMPUTED_VALUE"""),"Lazard Growth Acquisition Corp. I")</f>
        <v>Lazard Growth Acquisition Corp. I</v>
      </c>
      <c r="C457" s="56" t="str">
        <f>IFERROR(__xludf.DUMMYFUNCTION("""COMPUTED_VALUE"""),"Searching")</f>
        <v>Searching</v>
      </c>
      <c r="D457" s="57" t="str">
        <f>IFERROR(__xludf.DUMMYFUNCTION("""COMPUTED_VALUE"""),"Healthcare, Tech, Energy Transition, Financial, Consumer")</f>
        <v>Healthcare, Tech, Energy Transition, Financial, Consumer</v>
      </c>
      <c r="E457" s="58"/>
      <c r="F457" s="59" t="str">
        <f>IFERROR(__xludf.DUMMYFUNCTION("""COMPUTED_VALUE"""),"Lazard")</f>
        <v>Lazard</v>
      </c>
      <c r="G457" s="60">
        <f>IFERROR(__xludf.DUMMYFUNCTION("""COMPUTED_VALUE"""),5.75E8)</f>
        <v>575000000</v>
      </c>
      <c r="H457" s="60">
        <f>IFERROR(__xludf.DUMMYFUNCTION("""COMPUTED_VALUE"""),5.72125E8)</f>
        <v>572125000</v>
      </c>
      <c r="I457" s="61">
        <f>IFERROR(__xludf.DUMMYFUNCTION("""COMPUTED_VALUE"""),9.95)</f>
        <v>9.95</v>
      </c>
      <c r="J457" s="62">
        <f>IFERROR(__xludf.DUMMYFUNCTION("""COMPUTED_VALUE"""),0.00201)</f>
        <v>0.00201</v>
      </c>
      <c r="K457" s="59">
        <f>IFERROR(__xludf.DUMMYFUNCTION("""COMPUTED_VALUE"""),10.09)</f>
        <v>10.09</v>
      </c>
      <c r="L457" s="63">
        <f>IFERROR(__xludf.DUMMYFUNCTION("""COMPUTED_VALUE"""),1.05)</f>
        <v>1.05</v>
      </c>
      <c r="M457" s="64" t="str">
        <f>IFERROR(__xludf.DUMMYFUNCTION("""COMPUTED_VALUE"""),"U: [1/5 W]; W: [1:1, $11.5]")</f>
        <v>U: [1/5 W]; W: [1:1, $11.5]</v>
      </c>
      <c r="N457" s="65">
        <f>IFERROR(__xludf.DUMMYFUNCTION("""COMPUTED_VALUE"""),44291.0)</f>
        <v>44291</v>
      </c>
      <c r="O457" s="66">
        <f>IFERROR(__xludf.DUMMYFUNCTION("""COMPUTED_VALUE"""),0.0)</f>
        <v>0</v>
      </c>
      <c r="P457" s="67">
        <f>IFERROR(__xludf.DUMMYFUNCTION("""COMPUTED_VALUE"""),44236.0)</f>
        <v>44236</v>
      </c>
      <c r="Q457" s="68">
        <f>IFERROR(__xludf.DUMMYFUNCTION("""COMPUTED_VALUE"""),575.0)</f>
        <v>575</v>
      </c>
      <c r="R457" s="85" t="str">
        <f>IFERROR(__xludf.DUMMYFUNCTION("""COMPUTED_VALUE"""),"Goldman Sachs")</f>
        <v>Goldman Sachs</v>
      </c>
      <c r="S457" s="64">
        <f>IFERROR(__xludf.DUMMYFUNCTION("""COMPUTED_VALUE"""),44966.0)</f>
        <v>44966</v>
      </c>
      <c r="T457" s="70">
        <f>IFERROR(__xludf.DUMMYFUNCTION("""COMPUTED_VALUE"""),0.0821917808219178)</f>
        <v>0.08219178082</v>
      </c>
      <c r="U457" s="71" t="str">
        <f>IFERROR(__xludf.DUMMYFUNCTION("""COMPUTED_VALUE"""),"https://www.sec.gov/cgi-bin/browse-edgar?CIK=1836337")</f>
        <v>https://www.sec.gov/cgi-bin/browse-edgar?CIK=1836337</v>
      </c>
      <c r="V457" s="72" t="str">
        <f>IFERROR(__xludf.DUMMYFUNCTION("""COMPUTED_VALUE""")," Trading Below $10 (Common)  $500M+ Trust     Well-known Sponsor  Top Tier UW ")</f>
        <v> Trading Below $10 (Common)  $500M+ Trust     Well-known Sponsor  Top Tier UW </v>
      </c>
      <c r="W457" s="73"/>
      <c r="X457" s="74"/>
      <c r="Y457" s="75"/>
      <c r="Z457" s="60"/>
      <c r="AA457" s="60"/>
      <c r="AB457" s="60"/>
      <c r="AC457" s="60"/>
      <c r="AD457" s="73"/>
      <c r="AE457" s="73"/>
      <c r="AF457" s="76"/>
      <c r="AG457" s="60" t="str">
        <f>IFERROR(__xludf.DUMMYFUNCTION("""COMPUTED_VALUE"""),"")</f>
        <v/>
      </c>
    </row>
    <row r="458">
      <c r="A458" s="54" t="str">
        <f>IFERROR(__xludf.DUMMYFUNCTION("""COMPUTED_VALUE"""),"LGV")</f>
        <v>LGV</v>
      </c>
      <c r="B458" s="55" t="str">
        <f>IFERROR(__xludf.DUMMYFUNCTION("""COMPUTED_VALUE"""),"Longview Acquisition Corp. II")</f>
        <v>Longview Acquisition Corp. II</v>
      </c>
      <c r="C458" s="56" t="str">
        <f>IFERROR(__xludf.DUMMYFUNCTION("""COMPUTED_VALUE"""),"Searching (Pre Unit Split)")</f>
        <v>Searching (Pre Unit Split)</v>
      </c>
      <c r="D458" s="57" t="str">
        <f>IFERROR(__xludf.DUMMYFUNCTION("""COMPUTED_VALUE"""),"Healthcare")</f>
        <v>Healthcare</v>
      </c>
      <c r="E458" s="58"/>
      <c r="F458" s="59" t="str">
        <f>IFERROR(__xludf.DUMMYFUNCTION("""COMPUTED_VALUE"""),"Larry Robbins (Founder/CEO, Glenview)")</f>
        <v>Larry Robbins (Founder/CEO, Glenview)</v>
      </c>
      <c r="G458" s="60">
        <f>IFERROR(__xludf.DUMMYFUNCTION("""COMPUTED_VALUE"""),6.9E8)</f>
        <v>690000000</v>
      </c>
      <c r="H458" s="60" t="str">
        <f>IFERROR(__xludf.DUMMYFUNCTION("""COMPUTED_VALUE""")," ")</f>
        <v> </v>
      </c>
      <c r="I458" s="61" t="str">
        <f>IFERROR(__xludf.DUMMYFUNCTION("""COMPUTED_VALUE""")," ")</f>
        <v> </v>
      </c>
      <c r="J458" s="62" t="str">
        <f>IFERROR(__xludf.DUMMYFUNCTION("""COMPUTED_VALUE""")," ")</f>
        <v> </v>
      </c>
      <c r="K458" s="59">
        <f>IFERROR(__xludf.DUMMYFUNCTION("""COMPUTED_VALUE"""),10.22)</f>
        <v>10.22</v>
      </c>
      <c r="L458" s="63" t="str">
        <f>IFERROR(__xludf.DUMMYFUNCTION("""COMPUTED_VALUE""")," ")</f>
        <v> </v>
      </c>
      <c r="M458" s="64" t="str">
        <f>IFERROR(__xludf.DUMMYFUNCTION("""COMPUTED_VALUE"""),"U: [1/5 W]; W: [1:1, $11.5]")</f>
        <v>U: [1/5 W]; W: [1:1, $11.5]</v>
      </c>
      <c r="N458" s="65">
        <f>IFERROR(__xludf.DUMMYFUNCTION("""COMPUTED_VALUE"""),44326.0)</f>
        <v>44326</v>
      </c>
      <c r="O458" s="66" t="str">
        <f>IFERROR(__xludf.DUMMYFUNCTION("""COMPUTED_VALUE"""),"")</f>
        <v/>
      </c>
      <c r="P458" s="67">
        <f>IFERROR(__xludf.DUMMYFUNCTION("""COMPUTED_VALUE"""),44274.0)</f>
        <v>44274</v>
      </c>
      <c r="Q458" s="68">
        <f>IFERROR(__xludf.DUMMYFUNCTION("""COMPUTED_VALUE"""),690.0)</f>
        <v>690</v>
      </c>
      <c r="R458" s="85" t="str">
        <f>IFERROR(__xludf.DUMMYFUNCTION("""COMPUTED_VALUE"""),"UBS, Cowen")</f>
        <v>UBS, Cowen</v>
      </c>
      <c r="S458" s="64">
        <f>IFERROR(__xludf.DUMMYFUNCTION("""COMPUTED_VALUE"""),45004.0)</f>
        <v>45004</v>
      </c>
      <c r="T458" s="70">
        <f>IFERROR(__xludf.DUMMYFUNCTION("""COMPUTED_VALUE"""),0.030136986301369864)</f>
        <v>0.0301369863</v>
      </c>
      <c r="U458" s="71" t="str">
        <f>IFERROR(__xludf.DUMMYFUNCTION("""COMPUTED_VALUE"""),"https://www.sec.gov/cgi-bin/browse-edgar?CIK=1832300")</f>
        <v>https://www.sec.gov/cgi-bin/browse-edgar?CIK=1832300</v>
      </c>
      <c r="V458" s="72" t="str">
        <f>IFERROR(__xludf.DUMMYFUNCTION("""COMPUTED_VALUE"""),"   $500M+ Trust        ")</f>
        <v>   $500M+ Trust        </v>
      </c>
      <c r="W458" s="73"/>
      <c r="X458" s="74"/>
      <c r="Y458" s="75"/>
      <c r="Z458" s="60"/>
      <c r="AA458" s="60"/>
      <c r="AB458" s="60"/>
      <c r="AC458" s="60"/>
      <c r="AD458" s="73"/>
      <c r="AE458" s="73"/>
      <c r="AF458" s="76"/>
      <c r="AG458" s="60" t="str">
        <f>IFERROR(__xludf.DUMMYFUNCTION("""COMPUTED_VALUE"""),"")</f>
        <v/>
      </c>
    </row>
    <row r="459">
      <c r="A459" s="54" t="str">
        <f>IFERROR(__xludf.DUMMYFUNCTION("""COMPUTED_VALUE"""),"LHAA")</f>
        <v>LHAA</v>
      </c>
      <c r="B459" s="55" t="str">
        <f>IFERROR(__xludf.DUMMYFUNCTION("""COMPUTED_VALUE"""),"Lerer Hippeau Acquisition Corp.")</f>
        <v>Lerer Hippeau Acquisition Corp.</v>
      </c>
      <c r="C459" s="56" t="str">
        <f>IFERROR(__xludf.DUMMYFUNCTION("""COMPUTED_VALUE"""),"Searching")</f>
        <v>Searching</v>
      </c>
      <c r="D459" s="77" t="str">
        <f>IFERROR(__xludf.DUMMYFUNCTION("""COMPUTED_VALUE"""),"Tech")</f>
        <v>Tech</v>
      </c>
      <c r="E459" s="58"/>
      <c r="F459" s="59" t="str">
        <f>IFERROR(__xludf.DUMMYFUNCTION("""COMPUTED_VALUE"""),"Kenneth Lerer (Co-founder, The Huffington Post; Chairman, BLADE Urban Air; Director, Group Nine Media; Fmr Chairman, BuzzFeed; Fmr Director, Viacom), Eric Hippeau (Fmr CEO, The Huffington Post; Fmr MP, SoftBank Capital; Director, BuzzFeed, Marriott; Fmr D"&amp;"irector, Yahoo), Ben Lerer (CEO, Group Nine Media; Founder/Fmr CEO, Thrillist; Director, Casper Sleep), Arianna Huffington (Founder, The Huffington Post; Fmr Director, Uber)")</f>
        <v>Kenneth Lerer (Co-founder, The Huffington Post; Chairman, BLADE Urban Air; Director, Group Nine Media; Fmr Chairman, BuzzFeed; Fmr Director, Viacom), Eric Hippeau (Fmr CEO, The Huffington Post; Fmr MP, SoftBank Capital; Director, BuzzFeed, Marriott; Fmr Director, Yahoo), Ben Lerer (CEO, Group Nine Media; Founder/Fmr CEO, Thrillist; Director, Casper Sleep), Arianna Huffington (Founder, The Huffington Post; Fmr Director, Uber)</v>
      </c>
      <c r="G459" s="60">
        <f>IFERROR(__xludf.DUMMYFUNCTION("""COMPUTED_VALUE"""),2.2266185E8)</f>
        <v>222661850</v>
      </c>
      <c r="H459" s="60">
        <f>IFERROR(__xludf.DUMMYFUNCTION("""COMPUTED_VALUE"""),2.0E8)</f>
        <v>200000000</v>
      </c>
      <c r="I459" s="61">
        <f>IFERROR(__xludf.DUMMYFUNCTION("""COMPUTED_VALUE"""),10.0)</f>
        <v>10</v>
      </c>
      <c r="J459" s="62">
        <f>IFERROR(__xludf.DUMMYFUNCTION("""COMPUTED_VALUE"""),-0.00498)</f>
        <v>-0.00498</v>
      </c>
      <c r="K459" s="59" t="str">
        <f>IFERROR(__xludf.DUMMYFUNCTION("""COMPUTED_VALUE""")," ")</f>
        <v> </v>
      </c>
      <c r="L459" s="63" t="str">
        <f>IFERROR(__xludf.DUMMYFUNCTION("""COMPUTED_VALUE""")," ")</f>
        <v> </v>
      </c>
      <c r="M459" s="64" t="str">
        <f>IFERROR(__xludf.DUMMYFUNCTION("""COMPUTED_VALUE"""),"U: [No units]; W: [No warrants]")</f>
        <v>U: [No units]; W: [No warrants]</v>
      </c>
      <c r="N459" s="65" t="str">
        <f>IFERROR(__xludf.DUMMYFUNCTION("""COMPUTED_VALUE"""),"")</f>
        <v/>
      </c>
      <c r="O459" s="66">
        <f>IFERROR(__xludf.DUMMYFUNCTION("""COMPUTED_VALUE"""),0.0)</f>
        <v>0</v>
      </c>
      <c r="P459" s="67">
        <f>IFERROR(__xludf.DUMMYFUNCTION("""COMPUTED_VALUE"""),44260.0)</f>
        <v>44260</v>
      </c>
      <c r="Q459" s="68">
        <f>IFERROR(__xludf.DUMMYFUNCTION("""COMPUTED_VALUE"""),222.66185)</f>
        <v>222.66185</v>
      </c>
      <c r="R459" s="69" t="str">
        <f>IFERROR(__xludf.DUMMYFUNCTION("""COMPUTED_VALUE"""),"Barclays, CODE Advisors")</f>
        <v>Barclays, CODE Advisors</v>
      </c>
      <c r="S459" s="64">
        <f>IFERROR(__xludf.DUMMYFUNCTION("""COMPUTED_VALUE"""),44990.0)</f>
        <v>44990</v>
      </c>
      <c r="T459" s="70">
        <f>IFERROR(__xludf.DUMMYFUNCTION("""COMPUTED_VALUE"""),0.049315068493150684)</f>
        <v>0.04931506849</v>
      </c>
      <c r="U459" s="71" t="str">
        <f>IFERROR(__xludf.DUMMYFUNCTION("""COMPUTED_VALUE"""),"https://www.sec.gov/cgi-bin/browse-edgar?CIK=1841948")</f>
        <v>https://www.sec.gov/cgi-bin/browse-edgar?CIK=1841948</v>
      </c>
      <c r="V459" s="72" t="str">
        <f>IFERROR(__xludf.DUMMYFUNCTION("""COMPUTED_VALUE"""),"Venture Capital Trading Below $10 (Common)        Well-known Sponsor   ")</f>
        <v>Venture Capital Trading Below $10 (Common)        Well-known Sponsor   </v>
      </c>
      <c r="W459" s="73"/>
      <c r="X459" s="74"/>
      <c r="Y459" s="75"/>
      <c r="Z459" s="60"/>
      <c r="AA459" s="60"/>
      <c r="AB459" s="60"/>
      <c r="AC459" s="60"/>
      <c r="AD459" s="73"/>
      <c r="AE459" s="73"/>
      <c r="AF459" s="76"/>
      <c r="AG459" s="60"/>
    </row>
    <row r="460">
      <c r="A460" s="54" t="str">
        <f>IFERROR(__xludf.DUMMYFUNCTION("""COMPUTED_VALUE"""),"LHC")</f>
        <v>LHC</v>
      </c>
      <c r="B460" s="55" t="str">
        <f>IFERROR(__xludf.DUMMYFUNCTION("""COMPUTED_VALUE"""),"Leo Holdings Corp. II")</f>
        <v>Leo Holdings Corp. II</v>
      </c>
      <c r="C460" s="56" t="str">
        <f>IFERROR(__xludf.DUMMYFUNCTION("""COMPUTED_VALUE"""),"Searching")</f>
        <v>Searching</v>
      </c>
      <c r="D460" s="57" t="str">
        <f>IFERROR(__xludf.DUMMYFUNCTION("""COMPUTED_VALUE"""),"Consumer")</f>
        <v>Consumer</v>
      </c>
      <c r="E460" s="58"/>
      <c r="F460" s="59" t="str">
        <f>IFERROR(__xludf.DUMMYFUNCTION("""COMPUTED_VALUE"""),"Ed Forst (Fmr CEO, Cushman &amp; Wakefield), Lori Bush (Fmr CEO, Rodan + Fields)")</f>
        <v>Ed Forst (Fmr CEO, Cushman &amp; Wakefield), Lori Bush (Fmr CEO, Rodan + Fields)</v>
      </c>
      <c r="G460" s="60">
        <f>IFERROR(__xludf.DUMMYFUNCTION("""COMPUTED_VALUE"""),3.75E8)</f>
        <v>375000000</v>
      </c>
      <c r="H460" s="60">
        <f>IFERROR(__xludf.DUMMYFUNCTION("""COMPUTED_VALUE"""),3.65625E8)</f>
        <v>365625000</v>
      </c>
      <c r="I460" s="61">
        <f>IFERROR(__xludf.DUMMYFUNCTION("""COMPUTED_VALUE"""),9.75)</f>
        <v>9.75</v>
      </c>
      <c r="J460" s="62">
        <f>IFERROR(__xludf.DUMMYFUNCTION("""COMPUTED_VALUE"""),-0.00409)</f>
        <v>-0.00409</v>
      </c>
      <c r="K460" s="59">
        <f>IFERROR(__xludf.DUMMYFUNCTION("""COMPUTED_VALUE"""),9.98)</f>
        <v>9.98</v>
      </c>
      <c r="L460" s="63">
        <f>IFERROR(__xludf.DUMMYFUNCTION("""COMPUTED_VALUE"""),0.83)</f>
        <v>0.83</v>
      </c>
      <c r="M460" s="64" t="str">
        <f>IFERROR(__xludf.DUMMYFUNCTION("""COMPUTED_VALUE"""),"U: [1/4 W]; W: [1:1, $11.5]")</f>
        <v>U: [1/4 W]; W: [1:1, $11.5]</v>
      </c>
      <c r="N460" s="65" t="str">
        <f>IFERROR(__xludf.DUMMYFUNCTION("""COMPUTED_VALUE"""),"")</f>
        <v/>
      </c>
      <c r="O460" s="66">
        <f>IFERROR(__xludf.DUMMYFUNCTION("""COMPUTED_VALUE"""),0.0)</f>
        <v>0</v>
      </c>
      <c r="P460" s="67">
        <f>IFERROR(__xludf.DUMMYFUNCTION("""COMPUTED_VALUE"""),44204.0)</f>
        <v>44204</v>
      </c>
      <c r="Q460" s="68">
        <f>IFERROR(__xludf.DUMMYFUNCTION("""COMPUTED_VALUE"""),375.0)</f>
        <v>375</v>
      </c>
      <c r="R460" s="69" t="str">
        <f>IFERROR(__xludf.DUMMYFUNCTION("""COMPUTED_VALUE"""),"Deutsche Bank, Credit Suisse")</f>
        <v>Deutsche Bank, Credit Suisse</v>
      </c>
      <c r="S460" s="64">
        <f>IFERROR(__xludf.DUMMYFUNCTION("""COMPUTED_VALUE"""),44934.0)</f>
        <v>44934</v>
      </c>
      <c r="T460" s="70">
        <f>IFERROR(__xludf.DUMMYFUNCTION("""COMPUTED_VALUE"""),0.12602739726027398)</f>
        <v>0.1260273973</v>
      </c>
      <c r="U460" s="71" t="str">
        <f>IFERROR(__xludf.DUMMYFUNCTION("""COMPUTED_VALUE"""),"https://www.sec.gov/cgi-bin/browse-edgar?CIK=1824153")</f>
        <v>https://www.sec.gov/cgi-bin/browse-edgar?CIK=1824153</v>
      </c>
      <c r="V460" s="72" t="str">
        <f>IFERROR(__xludf.DUMMYFUNCTION("""COMPUTED_VALUE""")," Trading Below $10 (Common)           ")</f>
        <v> Trading Below $10 (Common)           </v>
      </c>
      <c r="W460" s="73"/>
      <c r="X460" s="74"/>
      <c r="Y460" s="75"/>
      <c r="Z460" s="60"/>
      <c r="AA460" s="60"/>
      <c r="AB460" s="60"/>
      <c r="AC460" s="60"/>
      <c r="AD460" s="73"/>
      <c r="AE460" s="73"/>
      <c r="AF460" s="76"/>
      <c r="AG460" s="60" t="str">
        <f>IFERROR(__xludf.DUMMYFUNCTION("""COMPUTED_VALUE"""),"")</f>
        <v/>
      </c>
    </row>
    <row r="461">
      <c r="A461" s="54" t="str">
        <f>IFERROR(__xludf.DUMMYFUNCTION("""COMPUTED_VALUE"""),"LHCA")</f>
        <v>LHCA</v>
      </c>
      <c r="B461" s="55" t="str">
        <f>IFERROR(__xludf.DUMMYFUNCTION("""COMPUTED_VALUE"""),"Lazard Healthcare Acquisition Corp. I")</f>
        <v>Lazard Healthcare Acquisition Corp. I</v>
      </c>
      <c r="C461" s="56" t="str">
        <f>IFERROR(__xludf.DUMMYFUNCTION("""COMPUTED_VALUE"""),"Pre IPO")</f>
        <v>Pre IPO</v>
      </c>
      <c r="D461" s="77" t="str">
        <f>IFERROR(__xludf.DUMMYFUNCTION("""COMPUTED_VALUE"""),"Healthcare Tech")</f>
        <v>Healthcare Tech</v>
      </c>
      <c r="E461" s="58"/>
      <c r="F461" s="59"/>
      <c r="G461" s="60">
        <f>IFERROR(__xludf.DUMMYFUNCTION("""COMPUTED_VALUE"""),2.5E8)</f>
        <v>250000000</v>
      </c>
      <c r="H461" s="60" t="str">
        <f>IFERROR(__xludf.DUMMYFUNCTION("""COMPUTED_VALUE""")," ")</f>
        <v> </v>
      </c>
      <c r="I461" s="61" t="str">
        <f>IFERROR(__xludf.DUMMYFUNCTION("""COMPUTED_VALUE""")," ")</f>
        <v> </v>
      </c>
      <c r="J461" s="62" t="str">
        <f>IFERROR(__xludf.DUMMYFUNCTION("""COMPUTED_VALUE""")," ")</f>
        <v> </v>
      </c>
      <c r="K461" s="59" t="str">
        <f>IFERROR(__xludf.DUMMYFUNCTION("""COMPUTED_VALUE""")," ")</f>
        <v> </v>
      </c>
      <c r="L461" s="63" t="str">
        <f>IFERROR(__xludf.DUMMYFUNCTION("""COMPUTED_VALUE""")," ")</f>
        <v> </v>
      </c>
      <c r="M461" s="64" t="str">
        <f>IFERROR(__xludf.DUMMYFUNCTION("""COMPUTED_VALUE"""),"U: [1/5 W]; W: [1:1, $11.5]")</f>
        <v>U: [1/5 W]; W: [1:1, $11.5]</v>
      </c>
      <c r="N461" s="65" t="str">
        <f>IFERROR(__xludf.DUMMYFUNCTION("""COMPUTED_VALUE"""),"")</f>
        <v/>
      </c>
      <c r="O461" s="66">
        <f>IFERROR(__xludf.DUMMYFUNCTION("""COMPUTED_VALUE"""),0.0)</f>
        <v>0</v>
      </c>
      <c r="P461" s="67"/>
      <c r="Q461" s="68">
        <f>IFERROR(__xludf.DUMMYFUNCTION("""COMPUTED_VALUE"""),250.0)</f>
        <v>250</v>
      </c>
      <c r="R461" s="69" t="str">
        <f>IFERROR(__xludf.DUMMYFUNCTION("""COMPUTED_VALUE"""),"Goldman Sachs &amp; Co. LLC")</f>
        <v>Goldman Sachs &amp; Co. LLC</v>
      </c>
      <c r="S461" s="64">
        <f>IFERROR(__xludf.DUMMYFUNCTION("""COMPUTED_VALUE"""),45086.0)</f>
        <v>45086</v>
      </c>
      <c r="T461" s="70" t="str">
        <f>IFERROR(__xludf.DUMMYFUNCTION("""COMPUTED_VALUE"""),"")</f>
        <v/>
      </c>
      <c r="U461" s="71" t="str">
        <f>IFERROR(__xludf.DUMMYFUNCTION("""COMPUTED_VALUE"""),"https://www.sec.gov/cgi-bin/browse-edgar?CIK=1852084")</f>
        <v>https://www.sec.gov/cgi-bin/browse-edgar?CIK=1852084</v>
      </c>
      <c r="V461" s="72" t="str">
        <f>IFERROR(__xludf.DUMMYFUNCTION("""COMPUTED_VALUE"""),"         Well-known Sponsor  Top Tier UW ")</f>
        <v>         Well-known Sponsor  Top Tier UW </v>
      </c>
      <c r="W461" s="73"/>
      <c r="X461" s="74"/>
      <c r="Y461" s="75"/>
      <c r="Z461" s="60"/>
      <c r="AA461" s="60"/>
      <c r="AB461" s="60"/>
      <c r="AC461" s="60"/>
      <c r="AD461" s="73"/>
      <c r="AE461" s="73"/>
      <c r="AF461" s="76"/>
      <c r="AG461" s="60"/>
    </row>
    <row r="462">
      <c r="A462" s="54" t="str">
        <f>IFERROR(__xludf.DUMMYFUNCTION("""COMPUTED_VALUE"""),"LHIV")</f>
        <v>LHIV</v>
      </c>
      <c r="B462" s="55" t="str">
        <f>IFERROR(__xludf.DUMMYFUNCTION("""COMPUTED_VALUE"""),"Lionheart IV Corp")</f>
        <v>Lionheart IV Corp</v>
      </c>
      <c r="C462" s="56" t="str">
        <f>IFERROR(__xludf.DUMMYFUNCTION("""COMPUTED_VALUE"""),"Pre IPO")</f>
        <v>Pre IPO</v>
      </c>
      <c r="D462" s="57"/>
      <c r="E462" s="58"/>
      <c r="F462" s="59" t="str">
        <f>IFERROR(__xludf.DUMMYFUNCTION("""COMPUTED_VALUE"""),"Ophir Sternberg (Founder &amp; CEO of Lionheart Capital), Steven Berrard (Co-founder &amp; Former Co-CEO of AutoNation, Former CEO of Blockbuster, and Former Chairman &amp; CEO of Jamba)")</f>
        <v>Ophir Sternberg (Founder &amp; CEO of Lionheart Capital), Steven Berrard (Co-founder &amp; Former Co-CEO of AutoNation, Former CEO of Blockbuster, and Former Chairman &amp; CEO of Jamba)</v>
      </c>
      <c r="G462" s="60">
        <f>IFERROR(__xludf.DUMMYFUNCTION("""COMPUTED_VALUE"""),2.5E8)</f>
        <v>250000000</v>
      </c>
      <c r="H462" s="60" t="str">
        <f>IFERROR(__xludf.DUMMYFUNCTION("""COMPUTED_VALUE""")," ")</f>
        <v> </v>
      </c>
      <c r="I462" s="61" t="str">
        <f>IFERROR(__xludf.DUMMYFUNCTION("""COMPUTED_VALUE""")," ")</f>
        <v> </v>
      </c>
      <c r="J462" s="62" t="str">
        <f>IFERROR(__xludf.DUMMYFUNCTION("""COMPUTED_VALUE""")," ")</f>
        <v> </v>
      </c>
      <c r="K462" s="59" t="str">
        <f>IFERROR(__xludf.DUMMYFUNCTION("""COMPUTED_VALUE""")," ")</f>
        <v> </v>
      </c>
      <c r="L462" s="63" t="str">
        <f>IFERROR(__xludf.DUMMYFUNCTION("""COMPUTED_VALUE""")," ")</f>
        <v> </v>
      </c>
      <c r="M462" s="64" t="str">
        <f>IFERROR(__xludf.DUMMYFUNCTION("""COMPUTED_VALUE"""),"U: [1/3 W]; W: [1:1, $11.5]")</f>
        <v>U: [1/3 W]; W: [1:1, $11.5]</v>
      </c>
      <c r="N462" s="65" t="str">
        <f>IFERROR(__xludf.DUMMYFUNCTION("""COMPUTED_VALUE"""),"")</f>
        <v/>
      </c>
      <c r="O462" s="66">
        <f>IFERROR(__xludf.DUMMYFUNCTION("""COMPUTED_VALUE"""),0.0)</f>
        <v>0</v>
      </c>
      <c r="P462" s="67"/>
      <c r="Q462" s="68">
        <f>IFERROR(__xludf.DUMMYFUNCTION("""COMPUTED_VALUE"""),250.0)</f>
        <v>250</v>
      </c>
      <c r="R462" s="69" t="str">
        <f>IFERROR(__xludf.DUMMYFUNCTION("""COMPUTED_VALUE"""),"Nomura, Northland Capital Markets")</f>
        <v>Nomura, Northland Capital Markets</v>
      </c>
      <c r="S462" s="64">
        <f>IFERROR(__xludf.DUMMYFUNCTION("""COMPUTED_VALUE"""),45086.0)</f>
        <v>45086</v>
      </c>
      <c r="T462" s="70" t="str">
        <f>IFERROR(__xludf.DUMMYFUNCTION("""COMPUTED_VALUE"""),"")</f>
        <v/>
      </c>
      <c r="U462" s="71" t="str">
        <f>IFERROR(__xludf.DUMMYFUNCTION("""COMPUTED_VALUE"""),"https://www.sec.gov/cgi-bin/browse-edgar?CIK=1846004")</f>
        <v>https://www.sec.gov/cgi-bin/browse-edgar?CIK=1846004</v>
      </c>
      <c r="V462" s="72" t="str">
        <f>IFERROR(__xludf.DUMMYFUNCTION("""COMPUTED_VALUE"""),"          Serial Sponsor  ")</f>
        <v>          Serial Sponsor  </v>
      </c>
      <c r="W462" s="73"/>
      <c r="X462" s="74"/>
      <c r="Y462" s="75"/>
      <c r="Z462" s="60"/>
      <c r="AA462" s="60"/>
      <c r="AB462" s="60"/>
      <c r="AC462" s="60"/>
      <c r="AD462" s="73"/>
      <c r="AE462" s="73"/>
      <c r="AF462" s="76"/>
      <c r="AG462" s="60"/>
    </row>
    <row r="463">
      <c r="A463" s="54" t="str">
        <f>IFERROR(__xludf.DUMMYFUNCTION("""COMPUTED_VALUE"""),"LHRT")</f>
        <v>LHRT</v>
      </c>
      <c r="B463" s="55" t="str">
        <f>IFERROR(__xludf.DUMMYFUNCTION("""COMPUTED_VALUE"""),"Lionheart III Corp")</f>
        <v>Lionheart III Corp</v>
      </c>
      <c r="C463" s="56" t="str">
        <f>IFERROR(__xludf.DUMMYFUNCTION("""COMPUTED_VALUE"""),"Pre IPO")</f>
        <v>Pre IPO</v>
      </c>
      <c r="D463" s="57"/>
      <c r="E463" s="58"/>
      <c r="F463" s="59" t="str">
        <f>IFERROR(__xludf.DUMMYFUNCTION("""COMPUTED_VALUE"""),"Ophir Sternberg (Founder &amp; CEO of Lionheart Capital), Steven Berrard (Co-founder &amp; Former Co-CEO of AutoNation, Former CEO of Blockbuster, and Former Chairman &amp; CEO of Jamba)")</f>
        <v>Ophir Sternberg (Founder &amp; CEO of Lionheart Capital), Steven Berrard (Co-founder &amp; Former Co-CEO of AutoNation, Former CEO of Blockbuster, and Former Chairman &amp; CEO of Jamba)</v>
      </c>
      <c r="G463" s="60">
        <f>IFERROR(__xludf.DUMMYFUNCTION("""COMPUTED_VALUE"""),1.0E8)</f>
        <v>100000000</v>
      </c>
      <c r="H463" s="60" t="str">
        <f>IFERROR(__xludf.DUMMYFUNCTION("""COMPUTED_VALUE""")," ")</f>
        <v> </v>
      </c>
      <c r="I463" s="61" t="str">
        <f>IFERROR(__xludf.DUMMYFUNCTION("""COMPUTED_VALUE""")," ")</f>
        <v> </v>
      </c>
      <c r="J463" s="62" t="str">
        <f>IFERROR(__xludf.DUMMYFUNCTION("""COMPUTED_VALUE""")," ")</f>
        <v> </v>
      </c>
      <c r="K463" s="59" t="str">
        <f>IFERROR(__xludf.DUMMYFUNCTION("""COMPUTED_VALUE""")," ")</f>
        <v> </v>
      </c>
      <c r="L463" s="63" t="str">
        <f>IFERROR(__xludf.DUMMYFUNCTION("""COMPUTED_VALUE""")," ")</f>
        <v> </v>
      </c>
      <c r="M463" s="64" t="str">
        <f>IFERROR(__xludf.DUMMYFUNCTION("""COMPUTED_VALUE"""),"U: [1/3 W]; W: [1:1, $11.5]")</f>
        <v>U: [1/3 W]; W: [1:1, $11.5]</v>
      </c>
      <c r="N463" s="65" t="str">
        <f>IFERROR(__xludf.DUMMYFUNCTION("""COMPUTED_VALUE"""),"")</f>
        <v/>
      </c>
      <c r="O463" s="66">
        <f>IFERROR(__xludf.DUMMYFUNCTION("""COMPUTED_VALUE"""),0.0)</f>
        <v>0</v>
      </c>
      <c r="P463" s="67"/>
      <c r="Q463" s="68">
        <f>IFERROR(__xludf.DUMMYFUNCTION("""COMPUTED_VALUE"""),100.0)</f>
        <v>100</v>
      </c>
      <c r="R463" s="69" t="str">
        <f>IFERROR(__xludf.DUMMYFUNCTION("""COMPUTED_VALUE"""),"Nomura, Northland Capital Markets")</f>
        <v>Nomura, Northland Capital Markets</v>
      </c>
      <c r="S463" s="64">
        <f>IFERROR(__xludf.DUMMYFUNCTION("""COMPUTED_VALUE"""),45086.0)</f>
        <v>45086</v>
      </c>
      <c r="T463" s="70" t="str">
        <f>IFERROR(__xludf.DUMMYFUNCTION("""COMPUTED_VALUE"""),"")</f>
        <v/>
      </c>
      <c r="U463" s="71" t="str">
        <f>IFERROR(__xludf.DUMMYFUNCTION("""COMPUTED_VALUE"""),"https://www.sec.gov/cgi-bin/browse-edgar?CIK=1845991")</f>
        <v>https://www.sec.gov/cgi-bin/browse-edgar?CIK=1845991</v>
      </c>
      <c r="V463" s="72" t="str">
        <f>IFERROR(__xludf.DUMMYFUNCTION("""COMPUTED_VALUE"""),"          Serial Sponsor  ")</f>
        <v>          Serial Sponsor  </v>
      </c>
      <c r="W463" s="73"/>
      <c r="X463" s="74"/>
      <c r="Y463" s="75"/>
      <c r="Z463" s="60"/>
      <c r="AA463" s="60"/>
      <c r="AB463" s="60"/>
      <c r="AC463" s="60"/>
      <c r="AD463" s="73"/>
      <c r="AE463" s="73"/>
      <c r="AF463" s="76"/>
      <c r="AG463" s="60"/>
    </row>
    <row r="464">
      <c r="A464" s="54" t="str">
        <f>IFERROR(__xludf.DUMMYFUNCTION("""COMPUTED_VALUE"""),"LIII")</f>
        <v>LIII</v>
      </c>
      <c r="B464" s="55" t="str">
        <f>IFERROR(__xludf.DUMMYFUNCTION("""COMPUTED_VALUE"""),"Leo Holdings III Corp")</f>
        <v>Leo Holdings III Corp</v>
      </c>
      <c r="C464" s="56" t="str">
        <f>IFERROR(__xludf.DUMMYFUNCTION("""COMPUTED_VALUE"""),"Searching (Pre Unit Split)")</f>
        <v>Searching (Pre Unit Split)</v>
      </c>
      <c r="D464" s="57" t="str">
        <f>IFERROR(__xludf.DUMMYFUNCTION("""COMPUTED_VALUE"""),"Consumer")</f>
        <v>Consumer</v>
      </c>
      <c r="E464" s="58"/>
      <c r="F464" s="59" t="str">
        <f>IFERROR(__xludf.DUMMYFUNCTION("""COMPUTED_VALUE"""),"Lyndon Lea (Founder/MP, Lion Capital), Ed Forst (Fmr CEO, Cushman &amp; Wakefield; Fmr CEO, Realty Shares), Lori Bush (Fmr CEO, Rodan + Fields)")</f>
        <v>Lyndon Lea (Founder/MP, Lion Capital), Ed Forst (Fmr CEO, Cushman &amp; Wakefield; Fmr CEO, Realty Shares), Lori Bush (Fmr CEO, Rodan + Fields)</v>
      </c>
      <c r="G464" s="60">
        <f>IFERROR(__xludf.DUMMYFUNCTION("""COMPUTED_VALUE"""),2.75E8)</f>
        <v>275000000</v>
      </c>
      <c r="H464" s="60" t="str">
        <f>IFERROR(__xludf.DUMMYFUNCTION("""COMPUTED_VALUE""")," ")</f>
        <v> </v>
      </c>
      <c r="I464" s="61" t="str">
        <f>IFERROR(__xludf.DUMMYFUNCTION("""COMPUTED_VALUE""")," ")</f>
        <v> </v>
      </c>
      <c r="J464" s="62" t="str">
        <f>IFERROR(__xludf.DUMMYFUNCTION("""COMPUTED_VALUE""")," ")</f>
        <v> </v>
      </c>
      <c r="K464" s="59">
        <f>IFERROR(__xludf.DUMMYFUNCTION("""COMPUTED_VALUE"""),10.01)</f>
        <v>10.01</v>
      </c>
      <c r="L464" s="63" t="str">
        <f>IFERROR(__xludf.DUMMYFUNCTION("""COMPUTED_VALUE""")," ")</f>
        <v> </v>
      </c>
      <c r="M464" s="64" t="str">
        <f>IFERROR(__xludf.DUMMYFUNCTION("""COMPUTED_VALUE"""),"U: [1/5 W]; W: [1:1, $11.5]")</f>
        <v>U: [1/5 W]; W: [1:1, $11.5]</v>
      </c>
      <c r="N464" s="65">
        <f>IFERROR(__xludf.DUMMYFUNCTION("""COMPUTED_VALUE"""),44305.0)</f>
        <v>44305</v>
      </c>
      <c r="O464" s="66" t="str">
        <f>IFERROR(__xludf.DUMMYFUNCTION("""COMPUTED_VALUE"""),"")</f>
        <v/>
      </c>
      <c r="P464" s="67">
        <f>IFERROR(__xludf.DUMMYFUNCTION("""COMPUTED_VALUE"""),44253.0)</f>
        <v>44253</v>
      </c>
      <c r="Q464" s="68">
        <f>IFERROR(__xludf.DUMMYFUNCTION("""COMPUTED_VALUE"""),275.0)</f>
        <v>275</v>
      </c>
      <c r="R464" s="69" t="str">
        <f>IFERROR(__xludf.DUMMYFUNCTION("""COMPUTED_VALUE"""),"Deutsche Bank Securities")</f>
        <v>Deutsche Bank Securities</v>
      </c>
      <c r="S464" s="64">
        <f>IFERROR(__xludf.DUMMYFUNCTION("""COMPUTED_VALUE"""),44983.0)</f>
        <v>44983</v>
      </c>
      <c r="T464" s="70">
        <f>IFERROR(__xludf.DUMMYFUNCTION("""COMPUTED_VALUE"""),0.0589041095890411)</f>
        <v>0.05890410959</v>
      </c>
      <c r="U464" s="71" t="str">
        <f>IFERROR(__xludf.DUMMYFUNCTION("""COMPUTED_VALUE"""),"https://www.sec.gov/cgi-bin/browse-edgar?CIK=1840780")</f>
        <v>https://www.sec.gov/cgi-bin/browse-edgar?CIK=1840780</v>
      </c>
      <c r="V464" s="72" t="str">
        <f>IFERROR(__xludf.DUMMYFUNCTION("""COMPUTED_VALUE"""),"         Well-known Sponsor Serial Sponsor  ")</f>
        <v>         Well-known Sponsor Serial Sponsor  </v>
      </c>
      <c r="W464" s="73"/>
      <c r="X464" s="74"/>
      <c r="Y464" s="75"/>
      <c r="Z464" s="60"/>
      <c r="AA464" s="60"/>
      <c r="AB464" s="60"/>
      <c r="AC464" s="60"/>
      <c r="AD464" s="73"/>
      <c r="AE464" s="73"/>
      <c r="AF464" s="76"/>
      <c r="AG464" s="60" t="str">
        <f>IFERROR(__xludf.DUMMYFUNCTION("""COMPUTED_VALUE"""),"")</f>
        <v/>
      </c>
    </row>
    <row r="465">
      <c r="A465" s="54" t="str">
        <f>IFERROR(__xludf.DUMMYFUNCTION("""COMPUTED_VALUE"""),"LITT")</f>
        <v>LITT</v>
      </c>
      <c r="B465" s="55" t="str">
        <f>IFERROR(__xludf.DUMMYFUNCTION("""COMPUTED_VALUE"""),"Logistics Innovation Technologies Corp.")</f>
        <v>Logistics Innovation Technologies Corp.</v>
      </c>
      <c r="C465" s="56" t="str">
        <f>IFERROR(__xludf.DUMMYFUNCTION("""COMPUTED_VALUE"""),"Pre IPO")</f>
        <v>Pre IPO</v>
      </c>
      <c r="D465" s="77" t="str">
        <f>IFERROR(__xludf.DUMMYFUNCTION("""COMPUTED_VALUE"""),"Logistics Tech (Logtech), Logistics")</f>
        <v>Logistics Tech (Logtech), Logistics</v>
      </c>
      <c r="E465" s="58"/>
      <c r="F465" s="59" t="str">
        <f>IFERROR(__xludf.DUMMYFUNCTION("""COMPUTED_VALUE"""),"Alan Gershenhorn (Fmr EVP &amp; CCO, UPS; Advisor, 8VC), Isaac “Yitz” Applbaum (Co-founder/Partner, MizMaa Ventures; Fmr Partner, Lightspeed Ventures; Advisor, 8VC), Bruno Sidler (Fmr CEO, Panalpina; Fmr COO, CEVA Logistics), Chris Sultemeier (Fmr CEO, Walmar"&amp;"t Transportation), Andrew Clarke (Fmr CFO, C.H. Robinson), Jake Medwell (Founding Partner, 8VC)")</f>
        <v>Alan Gershenhorn (Fmr EVP &amp; CCO, UPS; Advisor, 8VC), Isaac “Yitz” Applbaum (Co-founder/Partner, MizMaa Ventures; Fmr Partner, Lightspeed Ventures; Advisor, 8VC), Bruno Sidler (Fmr CEO, Panalpina; Fmr COO, CEVA Logistics), Chris Sultemeier (Fmr CEO, Walmart Transportation), Andrew Clarke (Fmr CFO, C.H. Robinson), Jake Medwell (Founding Partner, 8VC)</v>
      </c>
      <c r="G465" s="60">
        <f>IFERROR(__xludf.DUMMYFUNCTION("""COMPUTED_VALUE"""),3.5E8)</f>
        <v>350000000</v>
      </c>
      <c r="H465" s="60" t="str">
        <f>IFERROR(__xludf.DUMMYFUNCTION("""COMPUTED_VALUE""")," ")</f>
        <v> </v>
      </c>
      <c r="I465" s="61" t="str">
        <f>IFERROR(__xludf.DUMMYFUNCTION("""COMPUTED_VALUE""")," ")</f>
        <v> </v>
      </c>
      <c r="J465" s="62" t="str">
        <f>IFERROR(__xludf.DUMMYFUNCTION("""COMPUTED_VALUE""")," ")</f>
        <v> </v>
      </c>
      <c r="K465" s="59" t="str">
        <f>IFERROR(__xludf.DUMMYFUNCTION("""COMPUTED_VALUE""")," ")</f>
        <v> </v>
      </c>
      <c r="L465" s="63" t="str">
        <f>IFERROR(__xludf.DUMMYFUNCTION("""COMPUTED_VALUE""")," ")</f>
        <v> </v>
      </c>
      <c r="M465" s="64" t="str">
        <f>IFERROR(__xludf.DUMMYFUNCTION("""COMPUTED_VALUE"""),"U: [1/3 W]; W: [1:1, $11.5]")</f>
        <v>U: [1/3 W]; W: [1:1, $11.5]</v>
      </c>
      <c r="N465" s="65" t="str">
        <f>IFERROR(__xludf.DUMMYFUNCTION("""COMPUTED_VALUE"""),"")</f>
        <v/>
      </c>
      <c r="O465" s="66">
        <f>IFERROR(__xludf.DUMMYFUNCTION("""COMPUTED_VALUE"""),0.0)</f>
        <v>0</v>
      </c>
      <c r="P465" s="67"/>
      <c r="Q465" s="68">
        <f>IFERROR(__xludf.DUMMYFUNCTION("""COMPUTED_VALUE"""),350.0)</f>
        <v>350</v>
      </c>
      <c r="R465" s="69" t="str">
        <f>IFERROR(__xludf.DUMMYFUNCTION("""COMPUTED_VALUE"""),"Guggenheim Securities")</f>
        <v>Guggenheim Securities</v>
      </c>
      <c r="S465" s="64">
        <f>IFERROR(__xludf.DUMMYFUNCTION("""COMPUTED_VALUE"""),45086.0)</f>
        <v>45086</v>
      </c>
      <c r="T465" s="70" t="str">
        <f>IFERROR(__xludf.DUMMYFUNCTION("""COMPUTED_VALUE"""),"")</f>
        <v/>
      </c>
      <c r="U465" s="71" t="str">
        <f>IFERROR(__xludf.DUMMYFUNCTION("""COMPUTED_VALUE"""),"https://www.sec.gov/cgi-bin/browse-edgar?CIK=1848364")</f>
        <v>https://www.sec.gov/cgi-bin/browse-edgar?CIK=1848364</v>
      </c>
      <c r="V465" s="72" t="str">
        <f>IFERROR(__xludf.DUMMYFUNCTION("""COMPUTED_VALUE"""),"         Well-known Sponsor   ")</f>
        <v>         Well-known Sponsor   </v>
      </c>
      <c r="W465" s="73"/>
      <c r="X465" s="74"/>
      <c r="Y465" s="75"/>
      <c r="Z465" s="60"/>
      <c r="AA465" s="60"/>
      <c r="AB465" s="60"/>
      <c r="AC465" s="60"/>
      <c r="AD465" s="73"/>
      <c r="AE465" s="73"/>
      <c r="AF465" s="76"/>
      <c r="AG465" s="60"/>
    </row>
    <row r="466">
      <c r="A466" s="54" t="str">
        <f>IFERROR(__xludf.DUMMYFUNCTION("""COMPUTED_VALUE"""),"LIVK")</f>
        <v>LIVK</v>
      </c>
      <c r="B466" s="55" t="str">
        <f>IFERROR(__xludf.DUMMYFUNCTION("""COMPUTED_VALUE"""),"LIV Capital Acquisition")</f>
        <v>LIV Capital Acquisition</v>
      </c>
      <c r="C466" s="56" t="str">
        <f>IFERROR(__xludf.DUMMYFUNCTION("""COMPUTED_VALUE"""),"Searching")</f>
        <v>Searching</v>
      </c>
      <c r="D466" s="57" t="str">
        <f>IFERROR(__xludf.DUMMYFUNCTION("""COMPUTED_VALUE"""),"Mexico")</f>
        <v>Mexico</v>
      </c>
      <c r="E466" s="58"/>
      <c r="F466" s="59"/>
      <c r="G466" s="60">
        <f>IFERROR(__xludf.DUMMYFUNCTION("""COMPUTED_VALUE"""),8.1053245E7)</f>
        <v>81053245</v>
      </c>
      <c r="H466" s="60">
        <f>IFERROR(__xludf.DUMMYFUNCTION("""COMPUTED_VALUE"""),8.0983E7)</f>
        <v>80983000</v>
      </c>
      <c r="I466" s="61">
        <f>IFERROR(__xludf.DUMMYFUNCTION("""COMPUTED_VALUE"""),10.06)</f>
        <v>10.06</v>
      </c>
      <c r="J466" s="62">
        <f>IFERROR(__xludf.DUMMYFUNCTION("""COMPUTED_VALUE"""),0.005)</f>
        <v>0.005</v>
      </c>
      <c r="K466" s="59">
        <f>IFERROR(__xludf.DUMMYFUNCTION("""COMPUTED_VALUE"""),10.49)</f>
        <v>10.49</v>
      </c>
      <c r="L466" s="63">
        <f>IFERROR(__xludf.DUMMYFUNCTION("""COMPUTED_VALUE"""),0.61)</f>
        <v>0.61</v>
      </c>
      <c r="M466" s="64" t="str">
        <f>IFERROR(__xludf.DUMMYFUNCTION("""COMPUTED_VALUE"""),"U: [1 W]; W: [1:1, $11.5]")</f>
        <v>U: [1 W]; W: [1:1, $11.5]</v>
      </c>
      <c r="N466" s="65" t="str">
        <f>IFERROR(__xludf.DUMMYFUNCTION("""COMPUTED_VALUE"""),"")</f>
        <v/>
      </c>
      <c r="O466" s="66">
        <f>IFERROR(__xludf.DUMMYFUNCTION("""COMPUTED_VALUE"""),0.0)</f>
        <v>0</v>
      </c>
      <c r="P466" s="67">
        <f>IFERROR(__xludf.DUMMYFUNCTION("""COMPUTED_VALUE"""),43809.0)</f>
        <v>43809</v>
      </c>
      <c r="Q466" s="68">
        <f>IFERROR(__xludf.DUMMYFUNCTION("""COMPUTED_VALUE"""),80.5)</f>
        <v>80.5</v>
      </c>
      <c r="R466" s="85" t="str">
        <f>IFERROR(__xludf.DUMMYFUNCTION("""COMPUTED_VALUE"""),"EarlyBirdCapital")</f>
        <v>EarlyBirdCapital</v>
      </c>
      <c r="S466" s="64">
        <f>IFERROR(__xludf.DUMMYFUNCTION("""COMPUTED_VALUE"""),44447.75)</f>
        <v>44447.75</v>
      </c>
      <c r="T466" s="70">
        <f>IFERROR(__xludf.DUMMYFUNCTION("""COMPUTED_VALUE"""),0.762426614481409)</f>
        <v>0.7624266145</v>
      </c>
      <c r="U466" s="71" t="str">
        <f>IFERROR(__xludf.DUMMYFUNCTION("""COMPUTED_VALUE"""),"https://www.sec.gov/cgi-bin/browse-edgar?CIK=1790625")</f>
        <v>https://www.sec.gov/cgi-bin/browse-edgar?CIK=1790625</v>
      </c>
      <c r="V466" s="72" t="str">
        <f>IFERROR(__xludf.DUMMYFUNCTION("""COMPUTED_VALUE"""),"            ")</f>
        <v>            </v>
      </c>
      <c r="W466" s="73"/>
      <c r="X466" s="74"/>
      <c r="Y466" s="75"/>
      <c r="Z466" s="60"/>
      <c r="AA466" s="60"/>
      <c r="AB466" s="60"/>
      <c r="AC466" s="60"/>
      <c r="AD466" s="73"/>
      <c r="AE466" s="73"/>
      <c r="AF466" s="76"/>
      <c r="AG466" s="60" t="str">
        <f>IFERROR(__xludf.DUMMYFUNCTION("""COMPUTED_VALUE"""),"")</f>
        <v/>
      </c>
    </row>
    <row r="467">
      <c r="A467" s="54" t="str">
        <f>IFERROR(__xludf.DUMMYFUNCTION("""COMPUTED_VALUE"""),"LJAQ")</f>
        <v>LJAQ</v>
      </c>
      <c r="B467" s="55" t="str">
        <f>IFERROR(__xludf.DUMMYFUNCTION("""COMPUTED_VALUE"""),"LightJump Acquisition Corporation")</f>
        <v>LightJump Acquisition Corporation</v>
      </c>
      <c r="C467" s="56" t="str">
        <f>IFERROR(__xludf.DUMMYFUNCTION("""COMPUTED_VALUE"""),"Searching")</f>
        <v>Searching</v>
      </c>
      <c r="D467" s="57" t="str">
        <f>IFERROR(__xludf.DUMMYFUNCTION("""COMPUTED_VALUE"""),"Tech, Software and Services")</f>
        <v>Tech, Software and Services</v>
      </c>
      <c r="E467" s="58"/>
      <c r="F467" s="59" t="str">
        <f>IFERROR(__xludf.DUMMYFUNCTION("""COMPUTED_VALUE"""),"James Keyes (Fmr CEO, Blockbuster; Fmr CEO, 7-Eleven)")</f>
        <v>James Keyes (Fmr CEO, Blockbuster; Fmr CEO, 7-Eleven)</v>
      </c>
      <c r="G467" s="60">
        <f>IFERROR(__xludf.DUMMYFUNCTION("""COMPUTED_VALUE"""),1.38E8)</f>
        <v>138000000</v>
      </c>
      <c r="H467" s="60">
        <f>IFERROR(__xludf.DUMMYFUNCTION("""COMPUTED_VALUE"""),1.36482E8)</f>
        <v>136482000</v>
      </c>
      <c r="I467" s="61">
        <f>IFERROR(__xludf.DUMMYFUNCTION("""COMPUTED_VALUE"""),9.89)</f>
        <v>9.89</v>
      </c>
      <c r="J467" s="62">
        <f>IFERROR(__xludf.DUMMYFUNCTION("""COMPUTED_VALUE"""),0.00918)</f>
        <v>0.00918</v>
      </c>
      <c r="K467" s="59">
        <f>IFERROR(__xludf.DUMMYFUNCTION("""COMPUTED_VALUE"""),10.07)</f>
        <v>10.07</v>
      </c>
      <c r="L467" s="63">
        <f>IFERROR(__xludf.DUMMYFUNCTION("""COMPUTED_VALUE"""),0.5701)</f>
        <v>0.5701</v>
      </c>
      <c r="M467" s="64" t="str">
        <f>IFERROR(__xludf.DUMMYFUNCTION("""COMPUTED_VALUE"""),"U: [1/2 W]; W: [1:1, $11.5]")</f>
        <v>U: [1/2 W]; W: [1:1, $11.5]</v>
      </c>
      <c r="N467" s="65" t="str">
        <f>IFERROR(__xludf.DUMMYFUNCTION("""COMPUTED_VALUE"""),"")</f>
        <v/>
      </c>
      <c r="O467" s="66">
        <f>IFERROR(__xludf.DUMMYFUNCTION("""COMPUTED_VALUE"""),0.0)</f>
        <v>0</v>
      </c>
      <c r="P467" s="67">
        <f>IFERROR(__xludf.DUMMYFUNCTION("""COMPUTED_VALUE"""),44204.0)</f>
        <v>44204</v>
      </c>
      <c r="Q467" s="68">
        <f>IFERROR(__xludf.DUMMYFUNCTION("""COMPUTED_VALUE"""),138.0)</f>
        <v>138</v>
      </c>
      <c r="R467" s="85" t="str">
        <f>IFERROR(__xludf.DUMMYFUNCTION("""COMPUTED_VALUE"""),"EarlyBirdCapital")</f>
        <v>EarlyBirdCapital</v>
      </c>
      <c r="S467" s="64">
        <f>IFERROR(__xludf.DUMMYFUNCTION("""COMPUTED_VALUE"""),44751.5)</f>
        <v>44751.5</v>
      </c>
      <c r="T467" s="70">
        <f>IFERROR(__xludf.DUMMYFUNCTION("""COMPUTED_VALUE"""),0.1680365296803653)</f>
        <v>0.1680365297</v>
      </c>
      <c r="U467" s="71" t="str">
        <f>IFERROR(__xludf.DUMMYFUNCTION("""COMPUTED_VALUE"""),"https://www.sec.gov/cgi-bin/browse-edgar?CIK=1825437")</f>
        <v>https://www.sec.gov/cgi-bin/browse-edgar?CIK=1825437</v>
      </c>
      <c r="V467" s="72" t="str">
        <f>IFERROR(__xludf.DUMMYFUNCTION("""COMPUTED_VALUE""")," Trading Below $10 (Common)           ")</f>
        <v> Trading Below $10 (Common)           </v>
      </c>
      <c r="W467" s="73"/>
      <c r="X467" s="74"/>
      <c r="Y467" s="75"/>
      <c r="Z467" s="60"/>
      <c r="AA467" s="60"/>
      <c r="AB467" s="60"/>
      <c r="AC467" s="60"/>
      <c r="AD467" s="73"/>
      <c r="AE467" s="73"/>
      <c r="AF467" s="76"/>
      <c r="AG467" s="60" t="str">
        <f>IFERROR(__xludf.DUMMYFUNCTION("""COMPUTED_VALUE"""),"")</f>
        <v/>
      </c>
    </row>
    <row r="468">
      <c r="A468" s="54" t="str">
        <f>IFERROR(__xludf.DUMMYFUNCTION("""COMPUTED_VALUE"""),"LMACA")</f>
        <v>LMACA</v>
      </c>
      <c r="B468" s="55" t="str">
        <f>IFERROR(__xludf.DUMMYFUNCTION("""COMPUTED_VALUE"""),"Liberty Media Acquisition Corporation")</f>
        <v>Liberty Media Acquisition Corporation</v>
      </c>
      <c r="C468" s="56" t="str">
        <f>IFERROR(__xludf.DUMMYFUNCTION("""COMPUTED_VALUE"""),"Searching")</f>
        <v>Searching</v>
      </c>
      <c r="D468" s="57" t="str">
        <f>IFERROR(__xludf.DUMMYFUNCTION("""COMPUTED_VALUE"""),"TMT, Music, Entertainment")</f>
        <v>TMT, Music, Entertainment</v>
      </c>
      <c r="E468" s="58"/>
      <c r="F468" s="59" t="str">
        <f>IFERROR(__xludf.DUMMYFUNCTION("""COMPUTED_VALUE"""),"Greg Maffei (CEO, Liberty Media; Chairman of Live Nation, TripAdvisor; Fmr CFO Microsoft)
")</f>
        <v>Greg Maffei (CEO, Liberty Media; Chairman of Live Nation, TripAdvisor; Fmr CFO Microsoft)
</v>
      </c>
      <c r="G468" s="60">
        <f>IFERROR(__xludf.DUMMYFUNCTION("""COMPUTED_VALUE"""),5.75E8)</f>
        <v>575000000</v>
      </c>
      <c r="H468" s="60">
        <f>IFERROR(__xludf.DUMMYFUNCTION("""COMPUTED_VALUE"""),7.2953125E8)</f>
        <v>729531250</v>
      </c>
      <c r="I468" s="61">
        <f>IFERROR(__xludf.DUMMYFUNCTION("""COMPUTED_VALUE"""),10.15)</f>
        <v>10.15</v>
      </c>
      <c r="J468" s="62">
        <f>IFERROR(__xludf.DUMMYFUNCTION("""COMPUTED_VALUE"""),-0.00976)</f>
        <v>-0.00976</v>
      </c>
      <c r="K468" s="59" t="str">
        <f>IFERROR(__xludf.DUMMYFUNCTION("""COMPUTED_VALUE""")," ")</f>
        <v> </v>
      </c>
      <c r="L468" s="63" t="str">
        <f>IFERROR(__xludf.DUMMYFUNCTION("""COMPUTED_VALUE""")," ")</f>
        <v> </v>
      </c>
      <c r="M468" s="64" t="str">
        <f>IFERROR(__xludf.DUMMYFUNCTION("""COMPUTED_VALUE"""),"U: [1/5 W]; W: [1:1, $11.5]")</f>
        <v>U: [1/5 W]; W: [1:1, $11.5]</v>
      </c>
      <c r="N468" s="65" t="str">
        <f>IFERROR(__xludf.DUMMYFUNCTION("""COMPUTED_VALUE"""),"")</f>
        <v/>
      </c>
      <c r="O468" s="66">
        <f>IFERROR(__xludf.DUMMYFUNCTION("""COMPUTED_VALUE"""),0.0)</f>
        <v>0</v>
      </c>
      <c r="P468" s="67">
        <f>IFERROR(__xludf.DUMMYFUNCTION("""COMPUTED_VALUE"""),44217.0)</f>
        <v>44217</v>
      </c>
      <c r="Q468" s="68">
        <f>IFERROR(__xludf.DUMMYFUNCTION("""COMPUTED_VALUE"""),575.0)</f>
        <v>575</v>
      </c>
      <c r="R468" s="85" t="str">
        <f>IFERROR(__xludf.DUMMYFUNCTION("""COMPUTED_VALUE"""),"Citigroup, Credit Suisse, Morgan Stanley, Goldman Sachs")</f>
        <v>Citigroup, Credit Suisse, Morgan Stanley, Goldman Sachs</v>
      </c>
      <c r="S468" s="64">
        <f>IFERROR(__xludf.DUMMYFUNCTION("""COMPUTED_VALUE"""),44947.0)</f>
        <v>44947</v>
      </c>
      <c r="T468" s="70">
        <f>IFERROR(__xludf.DUMMYFUNCTION("""COMPUTED_VALUE"""),0.10821917808219178)</f>
        <v>0.1082191781</v>
      </c>
      <c r="U468" s="71" t="str">
        <f>IFERROR(__xludf.DUMMYFUNCTION("""COMPUTED_VALUE"""),"https://www.sec.gov/cgi-bin/browse-edgar?CIK=1831992")</f>
        <v>https://www.sec.gov/cgi-bin/browse-edgar?CIK=1831992</v>
      </c>
      <c r="V468" s="72" t="str">
        <f>IFERROR(__xludf.DUMMYFUNCTION("""COMPUTED_VALUE"""),"   $500M+ Trust     Well-known Sponsor  Top Tier UW ")</f>
        <v>   $500M+ Trust     Well-known Sponsor  Top Tier UW </v>
      </c>
      <c r="W468" s="73"/>
      <c r="X468" s="74"/>
      <c r="Y468" s="75"/>
      <c r="Z468" s="60"/>
      <c r="AA468" s="60"/>
      <c r="AB468" s="60"/>
      <c r="AC468" s="60"/>
      <c r="AD468" s="73"/>
      <c r="AE468" s="73"/>
      <c r="AF468" s="76"/>
      <c r="AG468" s="60" t="str">
        <f>IFERROR(__xludf.DUMMYFUNCTION("""COMPUTED_VALUE"""),"")</f>
        <v/>
      </c>
    </row>
    <row r="469">
      <c r="A469" s="54" t="str">
        <f>IFERROR(__xludf.DUMMYFUNCTION("""COMPUTED_VALUE"""),"LMAO")</f>
        <v>LMAO</v>
      </c>
      <c r="B469" s="55" t="str">
        <f>IFERROR(__xludf.DUMMYFUNCTION("""COMPUTED_VALUE"""),"LMF Acquisition Opportunities, Inc.")</f>
        <v>LMF Acquisition Opportunities, Inc.</v>
      </c>
      <c r="C469" s="56" t="str">
        <f>IFERROR(__xludf.DUMMYFUNCTION("""COMPUTED_VALUE"""),"Searching")</f>
        <v>Searching</v>
      </c>
      <c r="D469" s="57" t="str">
        <f>IFERROR(__xludf.DUMMYFUNCTION("""COMPUTED_VALUE"""),"Fintech, Financial Services")</f>
        <v>Fintech, Financial Services</v>
      </c>
      <c r="E469" s="58"/>
      <c r="F469" s="59"/>
      <c r="G469" s="60">
        <f>IFERROR(__xludf.DUMMYFUNCTION("""COMPUTED_VALUE"""),1.0557E8)</f>
        <v>105570000</v>
      </c>
      <c r="H469" s="60">
        <f>IFERROR(__xludf.DUMMYFUNCTION("""COMPUTED_VALUE"""),1.03176045E8)</f>
        <v>103176045</v>
      </c>
      <c r="I469" s="61">
        <f>IFERROR(__xludf.DUMMYFUNCTION("""COMPUTED_VALUE"""),9.87)</f>
        <v>9.87</v>
      </c>
      <c r="J469" s="62">
        <f>IFERROR(__xludf.DUMMYFUNCTION("""COMPUTED_VALUE"""),-0.00101)</f>
        <v>-0.00101</v>
      </c>
      <c r="K469" s="59">
        <f>IFERROR(__xludf.DUMMYFUNCTION("""COMPUTED_VALUE"""),10.32)</f>
        <v>10.32</v>
      </c>
      <c r="L469" s="63">
        <f>IFERROR(__xludf.DUMMYFUNCTION("""COMPUTED_VALUE"""),0.425)</f>
        <v>0.425</v>
      </c>
      <c r="M469" s="64" t="str">
        <f>IFERROR(__xludf.DUMMYFUNCTION("""COMPUTED_VALUE"""),"U: [1 W]; W: [1:1, $11.5]")</f>
        <v>U: [1 W]; W: [1:1, $11.5]</v>
      </c>
      <c r="N469" s="65" t="str">
        <f>IFERROR(__xludf.DUMMYFUNCTION("""COMPUTED_VALUE"""),"")</f>
        <v/>
      </c>
      <c r="O469" s="66">
        <f>IFERROR(__xludf.DUMMYFUNCTION("""COMPUTED_VALUE"""),0.0)</f>
        <v>0</v>
      </c>
      <c r="P469" s="67">
        <f>IFERROR(__xludf.DUMMYFUNCTION("""COMPUTED_VALUE"""),44221.0)</f>
        <v>44221</v>
      </c>
      <c r="Q469" s="68">
        <f>IFERROR(__xludf.DUMMYFUNCTION("""COMPUTED_VALUE"""),105.57)</f>
        <v>105.57</v>
      </c>
      <c r="R469" s="85" t="str">
        <f>IFERROR(__xludf.DUMMYFUNCTION("""COMPUTED_VALUE"""),"Maxim")</f>
        <v>Maxim</v>
      </c>
      <c r="S469" s="64">
        <f>IFERROR(__xludf.DUMMYFUNCTION("""COMPUTED_VALUE"""),44768.5)</f>
        <v>44768.5</v>
      </c>
      <c r="T469" s="70">
        <f>IFERROR(__xludf.DUMMYFUNCTION("""COMPUTED_VALUE"""),0.136986301369863)</f>
        <v>0.1369863014</v>
      </c>
      <c r="U469" s="71" t="str">
        <f>IFERROR(__xludf.DUMMYFUNCTION("""COMPUTED_VALUE"""),"https://www.sec.gov/cgi-bin/browse-edgar?CIK=1831868")</f>
        <v>https://www.sec.gov/cgi-bin/browse-edgar?CIK=1831868</v>
      </c>
      <c r="V469" s="72" t="str">
        <f>IFERROR(__xludf.DUMMYFUNCTION("""COMPUTED_VALUE""")," Trading Below $10 (Common)           ")</f>
        <v> Trading Below $10 (Common)           </v>
      </c>
      <c r="W469" s="73"/>
      <c r="X469" s="74"/>
      <c r="Y469" s="75"/>
      <c r="Z469" s="60"/>
      <c r="AA469" s="60"/>
      <c r="AB469" s="60"/>
      <c r="AC469" s="60"/>
      <c r="AD469" s="73"/>
      <c r="AE469" s="73"/>
      <c r="AF469" s="76"/>
      <c r="AG469" s="60" t="str">
        <f>IFERROR(__xludf.DUMMYFUNCTION("""COMPUTED_VALUE"""),"")</f>
        <v/>
      </c>
    </row>
    <row r="470">
      <c r="A470" s="54" t="str">
        <f>IFERROR(__xludf.DUMMYFUNCTION("""COMPUTED_VALUE"""),"LNFA")</f>
        <v>LNFA</v>
      </c>
      <c r="B470" s="55" t="str">
        <f>IFERROR(__xludf.DUMMYFUNCTION("""COMPUTED_VALUE"""),"L&amp;F Acquisition Corp.")</f>
        <v>L&amp;F Acquisition Corp.</v>
      </c>
      <c r="C470" s="56" t="str">
        <f>IFERROR(__xludf.DUMMYFUNCTION("""COMPUTED_VALUE"""),"Searching")</f>
        <v>Searching</v>
      </c>
      <c r="D470" s="57" t="str">
        <f>IFERROR(__xludf.DUMMYFUNCTION("""COMPUTED_VALUE"""),"Governance, Risk, and Compliance (“GRC”) and Legal Tech / Software")</f>
        <v>Governance, Risk, and Compliance (“GRC”) and Legal Tech / Software</v>
      </c>
      <c r="E470" s="58"/>
      <c r="F470" s="59" t="str">
        <f>IFERROR(__xludf.DUMMYFUNCTION("""COMPUTED_VALUE"""),"Jeffrey Hammes (Chairman, Kirkland &amp; Ellis), Senator Joe Lieberman (US Senator from Connecticut; Democratic VP Nominee 2000)")</f>
        <v>Jeffrey Hammes (Chairman, Kirkland &amp; Ellis), Senator Joe Lieberman (US Senator from Connecticut; Democratic VP Nominee 2000)</v>
      </c>
      <c r="G470" s="60">
        <f>IFERROR(__xludf.DUMMYFUNCTION("""COMPUTED_VALUE"""),1.75089531E8)</f>
        <v>175089531</v>
      </c>
      <c r="H470" s="60">
        <f>IFERROR(__xludf.DUMMYFUNCTION("""COMPUTED_VALUE"""),1.725E8)</f>
        <v>172500000</v>
      </c>
      <c r="I470" s="61">
        <f>IFERROR(__xludf.DUMMYFUNCTION("""COMPUTED_VALUE"""),10.0)</f>
        <v>10</v>
      </c>
      <c r="J470" s="62">
        <f>IFERROR(__xludf.DUMMYFUNCTION("""COMPUTED_VALUE"""),0.0022)</f>
        <v>0.0022</v>
      </c>
      <c r="K470" s="59">
        <f>IFERROR(__xludf.DUMMYFUNCTION("""COMPUTED_VALUE"""),10.25)</f>
        <v>10.25</v>
      </c>
      <c r="L470" s="63">
        <f>IFERROR(__xludf.DUMMYFUNCTION("""COMPUTED_VALUE"""),0.9899)</f>
        <v>0.9899</v>
      </c>
      <c r="M470" s="64" t="str">
        <f>IFERROR(__xludf.DUMMYFUNCTION("""COMPUTED_VALUE"""),"U: [1/2 W]; W: [1:1, $11.5]")</f>
        <v>U: [1/2 W]; W: [1:1, $11.5]</v>
      </c>
      <c r="N470" s="65" t="str">
        <f>IFERROR(__xludf.DUMMYFUNCTION("""COMPUTED_VALUE"""),"")</f>
        <v/>
      </c>
      <c r="O470" s="66">
        <f>IFERROR(__xludf.DUMMYFUNCTION("""COMPUTED_VALUE"""),0.0)</f>
        <v>0</v>
      </c>
      <c r="P470" s="67">
        <f>IFERROR(__xludf.DUMMYFUNCTION("""COMPUTED_VALUE"""),44153.0)</f>
        <v>44153</v>
      </c>
      <c r="Q470" s="68">
        <f>IFERROR(__xludf.DUMMYFUNCTION("""COMPUTED_VALUE"""),175.0875)</f>
        <v>175.0875</v>
      </c>
      <c r="R470" s="69" t="str">
        <f>IFERROR(__xludf.DUMMYFUNCTION("""COMPUTED_VALUE"""),"Citigroup")</f>
        <v>Citigroup</v>
      </c>
      <c r="S470" s="64">
        <f>IFERROR(__xludf.DUMMYFUNCTION("""COMPUTED_VALUE"""),44883.0)</f>
        <v>44883</v>
      </c>
      <c r="T470" s="70">
        <f>IFERROR(__xludf.DUMMYFUNCTION("""COMPUTED_VALUE"""),0.1958904109589041)</f>
        <v>0.195890411</v>
      </c>
      <c r="U470" s="71" t="str">
        <f>IFERROR(__xludf.DUMMYFUNCTION("""COMPUTED_VALUE"""),"https://www.sec.gov/cgi-bin/browse-edgar?CIK=1823575")</f>
        <v>https://www.sec.gov/cgi-bin/browse-edgar?CIK=1823575</v>
      </c>
      <c r="V470" s="72" t="str">
        <f>IFERROR(__xludf.DUMMYFUNCTION("""COMPUTED_VALUE""")," Trading Below $10 (Common)        Well-known Sponsor  Top Tier UW ")</f>
        <v> Trading Below $10 (Common)        Well-known Sponsor  Top Tier UW </v>
      </c>
      <c r="W470" s="73"/>
      <c r="X470" s="74"/>
      <c r="Y470" s="75"/>
      <c r="Z470" s="60"/>
      <c r="AA470" s="60"/>
      <c r="AB470" s="60"/>
      <c r="AC470" s="60"/>
      <c r="AD470" s="73"/>
      <c r="AE470" s="73"/>
      <c r="AF470" s="76"/>
      <c r="AG470" s="60" t="str">
        <f>IFERROR(__xludf.DUMMYFUNCTION("""COMPUTED_VALUE"""),"")</f>
        <v/>
      </c>
    </row>
    <row r="471">
      <c r="A471" s="54" t="str">
        <f>IFERROR(__xludf.DUMMYFUNCTION("""COMPUTED_VALUE"""),"LOCC")</f>
        <v>LOCC</v>
      </c>
      <c r="B471" s="55" t="str">
        <f>IFERROR(__xludf.DUMMYFUNCTION("""COMPUTED_VALUE"""),"Live Oak Crestview Climate Acquisition Corp.")</f>
        <v>Live Oak Crestview Climate Acquisition Corp.</v>
      </c>
      <c r="C471" s="56" t="str">
        <f>IFERROR(__xludf.DUMMYFUNCTION("""COMPUTED_VALUE"""),"Pre IPO")</f>
        <v>Pre IPO</v>
      </c>
      <c r="D471" s="57" t="str">
        <f>IFERROR(__xludf.DUMMYFUNCTION("""COMPUTED_VALUE"""),"Climate &amp; Sustainability")</f>
        <v>Climate &amp; Sustainability</v>
      </c>
      <c r="E471" s="58"/>
      <c r="F471" s="59"/>
      <c r="G471" s="60">
        <f>IFERROR(__xludf.DUMMYFUNCTION("""COMPUTED_VALUE"""),2.5E8)</f>
        <v>250000000</v>
      </c>
      <c r="H471" s="60" t="str">
        <f>IFERROR(__xludf.DUMMYFUNCTION("""COMPUTED_VALUE""")," ")</f>
        <v> </v>
      </c>
      <c r="I471" s="61" t="str">
        <f>IFERROR(__xludf.DUMMYFUNCTION("""COMPUTED_VALUE""")," ")</f>
        <v> </v>
      </c>
      <c r="J471" s="62" t="str">
        <f>IFERROR(__xludf.DUMMYFUNCTION("""COMPUTED_VALUE""")," ")</f>
        <v> </v>
      </c>
      <c r="K471" s="59" t="str">
        <f>IFERROR(__xludf.DUMMYFUNCTION("""COMPUTED_VALUE""")," ")</f>
        <v> </v>
      </c>
      <c r="L471" s="63" t="str">
        <f>IFERROR(__xludf.DUMMYFUNCTION("""COMPUTED_VALUE""")," ")</f>
        <v> </v>
      </c>
      <c r="M471" s="64" t="str">
        <f>IFERROR(__xludf.DUMMYFUNCTION("""COMPUTED_VALUE"""),"U: [1/4 W]; W: [1:1, $11.5]")</f>
        <v>U: [1/4 W]; W: [1:1, $11.5]</v>
      </c>
      <c r="N471" s="65" t="str">
        <f>IFERROR(__xludf.DUMMYFUNCTION("""COMPUTED_VALUE"""),"")</f>
        <v/>
      </c>
      <c r="O471" s="66">
        <f>IFERROR(__xludf.DUMMYFUNCTION("""COMPUTED_VALUE"""),0.0)</f>
        <v>0</v>
      </c>
      <c r="P471" s="67"/>
      <c r="Q471" s="68">
        <f>IFERROR(__xludf.DUMMYFUNCTION("""COMPUTED_VALUE"""),250.0)</f>
        <v>250</v>
      </c>
      <c r="R471" s="69" t="str">
        <f>IFERROR(__xludf.DUMMYFUNCTION("""COMPUTED_VALUE"""),"Jefferies, BofA Securities")</f>
        <v>Jefferies, BofA Securities</v>
      </c>
      <c r="S471" s="64">
        <f>IFERROR(__xludf.DUMMYFUNCTION("""COMPUTED_VALUE"""),45086.0)</f>
        <v>45086</v>
      </c>
      <c r="T471" s="70" t="str">
        <f>IFERROR(__xludf.DUMMYFUNCTION("""COMPUTED_VALUE"""),"")</f>
        <v/>
      </c>
      <c r="U471" s="71" t="str">
        <f>IFERROR(__xludf.DUMMYFUNCTION("""COMPUTED_VALUE"""),"https://www.sec.gov/cgi-bin/browse-edgar?CIK=1848323")</f>
        <v>https://www.sec.gov/cgi-bin/browse-edgar?CIK=1848323</v>
      </c>
      <c r="V471" s="72" t="str">
        <f>IFERROR(__xludf.DUMMYFUNCTION("""COMPUTED_VALUE"""),"          Serial Sponsor Top Tier UW ")</f>
        <v>          Serial Sponsor Top Tier UW </v>
      </c>
      <c r="W471" s="73"/>
      <c r="X471" s="74"/>
      <c r="Y471" s="75"/>
      <c r="Z471" s="60"/>
      <c r="AA471" s="60"/>
      <c r="AB471" s="60"/>
      <c r="AC471" s="60"/>
      <c r="AD471" s="73"/>
      <c r="AE471" s="73"/>
      <c r="AF471" s="76"/>
      <c r="AG471" s="60"/>
    </row>
    <row r="472">
      <c r="A472" s="54" t="str">
        <f>IFERROR(__xludf.DUMMYFUNCTION("""COMPUTED_VALUE"""),"LOKB")</f>
        <v>LOKB</v>
      </c>
      <c r="B472" s="55" t="str">
        <f>IFERROR(__xludf.DUMMYFUNCTION("""COMPUTED_VALUE"""),"Live Oak Acquisition Corp. II")</f>
        <v>Live Oak Acquisition Corp. II</v>
      </c>
      <c r="C472" s="56" t="str">
        <f>IFERROR(__xludf.DUMMYFUNCTION("""COMPUTED_VALUE"""),"Searching")</f>
        <v>Searching</v>
      </c>
      <c r="D472" s="57"/>
      <c r="E472" s="58"/>
      <c r="F472" s="59"/>
      <c r="G472" s="60">
        <f>IFERROR(__xludf.DUMMYFUNCTION("""COMPUTED_VALUE"""),2.53E8)</f>
        <v>253000000</v>
      </c>
      <c r="H472" s="60">
        <f>IFERROR(__xludf.DUMMYFUNCTION("""COMPUTED_VALUE"""),2.57554E8)</f>
        <v>257554000</v>
      </c>
      <c r="I472" s="61">
        <f>IFERROR(__xludf.DUMMYFUNCTION("""COMPUTED_VALUE"""),10.18)</f>
        <v>10.18</v>
      </c>
      <c r="J472" s="62">
        <f>IFERROR(__xludf.DUMMYFUNCTION("""COMPUTED_VALUE"""),0.00792)</f>
        <v>0.00792</v>
      </c>
      <c r="K472" s="59">
        <f>IFERROR(__xludf.DUMMYFUNCTION("""COMPUTED_VALUE"""),10.9)</f>
        <v>10.9</v>
      </c>
      <c r="L472" s="63">
        <f>IFERROR(__xludf.DUMMYFUNCTION("""COMPUTED_VALUE"""),2.27)</f>
        <v>2.27</v>
      </c>
      <c r="M472" s="64" t="str">
        <f>IFERROR(__xludf.DUMMYFUNCTION("""COMPUTED_VALUE"""),"U: [1/3 W]; W: [1:1, $11.5]")</f>
        <v>U: [1/3 W]; W: [1:1, $11.5]</v>
      </c>
      <c r="N472" s="65" t="str">
        <f>IFERROR(__xludf.DUMMYFUNCTION("""COMPUTED_VALUE"""),"")</f>
        <v/>
      </c>
      <c r="O472" s="66">
        <f>IFERROR(__xludf.DUMMYFUNCTION("""COMPUTED_VALUE"""),0.0)</f>
        <v>0</v>
      </c>
      <c r="P472" s="67">
        <f>IFERROR(__xludf.DUMMYFUNCTION("""COMPUTED_VALUE"""),44167.0)</f>
        <v>44167</v>
      </c>
      <c r="Q472" s="68">
        <f>IFERROR(__xludf.DUMMYFUNCTION("""COMPUTED_VALUE"""),253.0)</f>
        <v>253</v>
      </c>
      <c r="R472" s="69" t="str">
        <f>IFERROR(__xludf.DUMMYFUNCTION("""COMPUTED_VALUE"""),"Jefferies, BofA Securities")</f>
        <v>Jefferies, BofA Securities</v>
      </c>
      <c r="S472" s="64">
        <f>IFERROR(__xludf.DUMMYFUNCTION("""COMPUTED_VALUE"""),44897.0)</f>
        <v>44897</v>
      </c>
      <c r="T472" s="70">
        <f>IFERROR(__xludf.DUMMYFUNCTION("""COMPUTED_VALUE"""),0.17671232876712328)</f>
        <v>0.1767123288</v>
      </c>
      <c r="U472" s="71" t="str">
        <f>IFERROR(__xludf.DUMMYFUNCTION("""COMPUTED_VALUE"""),"https://www.sec.gov/cgi-bin/browse-edgar?CIK=1821769")</f>
        <v>https://www.sec.gov/cgi-bin/browse-edgar?CIK=1821769</v>
      </c>
      <c r="V472" s="72" t="str">
        <f>IFERROR(__xludf.DUMMYFUNCTION("""COMPUTED_VALUE"""),"          Serial Sponsor Top Tier UW ")</f>
        <v>          Serial Sponsor Top Tier UW </v>
      </c>
      <c r="W472" s="73"/>
      <c r="X472" s="74"/>
      <c r="Y472" s="75"/>
      <c r="Z472" s="60"/>
      <c r="AA472" s="60"/>
      <c r="AB472" s="60"/>
      <c r="AC472" s="60"/>
      <c r="AD472" s="73"/>
      <c r="AE472" s="73"/>
      <c r="AF472" s="76"/>
      <c r="AG472" s="60" t="str">
        <f>IFERROR(__xludf.DUMMYFUNCTION("""COMPUTED_VALUE"""),"")</f>
        <v/>
      </c>
    </row>
    <row r="473">
      <c r="A473" s="54" t="str">
        <f>IFERROR(__xludf.DUMMYFUNCTION("""COMPUTED_VALUE"""),"LOKM")</f>
        <v>LOKM</v>
      </c>
      <c r="B473" s="55" t="str">
        <f>IFERROR(__xludf.DUMMYFUNCTION("""COMPUTED_VALUE"""),"Live Oak Mobility Acquisition Corp.")</f>
        <v>Live Oak Mobility Acquisition Corp.</v>
      </c>
      <c r="C473" s="56" t="str">
        <f>IFERROR(__xludf.DUMMYFUNCTION("""COMPUTED_VALUE"""),"Searching (Pre Unit Split)")</f>
        <v>Searching (Pre Unit Split)</v>
      </c>
      <c r="D473" s="57" t="str">
        <f>IFERROR(__xludf.DUMMYFUNCTION("""COMPUTED_VALUE"""),"Mobility and Motion Tech")</f>
        <v>Mobility and Motion Tech</v>
      </c>
      <c r="E473" s="58"/>
      <c r="F473" s="59" t="str">
        <f>IFERROR(__xludf.DUMMYFUNCTION("""COMPUTED_VALUE"""),"Richard Hendrix (Fmr CEO, FBR), Fritz Henderson (Fmr CEO, GM; Fmr CEO, SunCoke Energy)")</f>
        <v>Richard Hendrix (Fmr CEO, FBR), Fritz Henderson (Fmr CEO, GM; Fmr CEO, SunCoke Energy)</v>
      </c>
      <c r="G473" s="60">
        <f>IFERROR(__xludf.DUMMYFUNCTION("""COMPUTED_VALUE"""),2.53E8)</f>
        <v>253000000</v>
      </c>
      <c r="H473" s="60" t="str">
        <f>IFERROR(__xludf.DUMMYFUNCTION("""COMPUTED_VALUE""")," ")</f>
        <v> </v>
      </c>
      <c r="I473" s="61" t="str">
        <f>IFERROR(__xludf.DUMMYFUNCTION("""COMPUTED_VALUE""")," ")</f>
        <v> </v>
      </c>
      <c r="J473" s="62" t="str">
        <f>IFERROR(__xludf.DUMMYFUNCTION("""COMPUTED_VALUE""")," ")</f>
        <v> </v>
      </c>
      <c r="K473" s="59">
        <f>IFERROR(__xludf.DUMMYFUNCTION("""COMPUTED_VALUE"""),10.17)</f>
        <v>10.17</v>
      </c>
      <c r="L473" s="63" t="str">
        <f>IFERROR(__xludf.DUMMYFUNCTION("""COMPUTED_VALUE""")," ")</f>
        <v> </v>
      </c>
      <c r="M473" s="64" t="str">
        <f>IFERROR(__xludf.DUMMYFUNCTION("""COMPUTED_VALUE"""),"U: [1/5 W]; W: [1:1, $11.5]")</f>
        <v>U: [1/5 W]; W: [1:1, $11.5]</v>
      </c>
      <c r="N473" s="65">
        <f>IFERROR(__xludf.DUMMYFUNCTION("""COMPUTED_VALUE"""),44309.0)</f>
        <v>44309</v>
      </c>
      <c r="O473" s="66" t="str">
        <f>IFERROR(__xludf.DUMMYFUNCTION("""COMPUTED_VALUE"""),"")</f>
        <v/>
      </c>
      <c r="P473" s="67">
        <f>IFERROR(__xludf.DUMMYFUNCTION("""COMPUTED_VALUE"""),44257.0)</f>
        <v>44257</v>
      </c>
      <c r="Q473" s="68">
        <f>IFERROR(__xludf.DUMMYFUNCTION("""COMPUTED_VALUE"""),253.0)</f>
        <v>253</v>
      </c>
      <c r="R473" s="85" t="str">
        <f>IFERROR(__xludf.DUMMYFUNCTION("""COMPUTED_VALUE"""),"Jefferies, BofA Securities")</f>
        <v>Jefferies, BofA Securities</v>
      </c>
      <c r="S473" s="64">
        <f>IFERROR(__xludf.DUMMYFUNCTION("""COMPUTED_VALUE"""),44987.0)</f>
        <v>44987</v>
      </c>
      <c r="T473" s="70">
        <f>IFERROR(__xludf.DUMMYFUNCTION("""COMPUTED_VALUE"""),0.05342465753424658)</f>
        <v>0.05342465753</v>
      </c>
      <c r="U473" s="71" t="str">
        <f>IFERROR(__xludf.DUMMYFUNCTION("""COMPUTED_VALUE"""),"https://www.sec.gov/cgi-bin/browse-edgar?CIK=1841585")</f>
        <v>https://www.sec.gov/cgi-bin/browse-edgar?CIK=1841585</v>
      </c>
      <c r="V473" s="72" t="str">
        <f>IFERROR(__xludf.DUMMYFUNCTION("""COMPUTED_VALUE"""),"          Serial Sponsor Top Tier UW ")</f>
        <v>          Serial Sponsor Top Tier UW </v>
      </c>
      <c r="W473" s="73"/>
      <c r="X473" s="74"/>
      <c r="Y473" s="75"/>
      <c r="Z473" s="60"/>
      <c r="AA473" s="60"/>
      <c r="AB473" s="60"/>
      <c r="AC473" s="60"/>
      <c r="AD473" s="73"/>
      <c r="AE473" s="73"/>
      <c r="AF473" s="76"/>
      <c r="AG473" s="60" t="str">
        <f>IFERROR(__xludf.DUMMYFUNCTION("""COMPUTED_VALUE"""),"")</f>
        <v/>
      </c>
    </row>
    <row r="474">
      <c r="A474" s="54" t="str">
        <f>IFERROR(__xludf.DUMMYFUNCTION("""COMPUTED_VALUE"""),"LPC")</f>
        <v>LPC</v>
      </c>
      <c r="B474" s="55" t="str">
        <f>IFERROR(__xludf.DUMMYFUNCTION("""COMPUTED_VALUE"""),"Lamar Partnering Corp")</f>
        <v>Lamar Partnering Corp</v>
      </c>
      <c r="C474" s="56" t="str">
        <f>IFERROR(__xludf.DUMMYFUNCTION("""COMPUTED_VALUE"""),"Pre IPO")</f>
        <v>Pre IPO</v>
      </c>
      <c r="D474" s="77" t="str">
        <f>IFERROR(__xludf.DUMMYFUNCTION("""COMPUTED_VALUE"""),"Digital media, advertising technology, international advertising, distributed energy and wireless communications infrastructure.")</f>
        <v>Digital media, advertising technology, international advertising, distributed energy and wireless communications infrastructure.</v>
      </c>
      <c r="E474" s="58"/>
      <c r="F474" s="59" t="str">
        <f>IFERROR(__xludf.DUMMYFUNCTION("""COMPUTED_VALUE"""),"Sean Reilly (CEO of Lamar), Barry Frey (CEO and Director of the DPAA)")</f>
        <v>Sean Reilly (CEO of Lamar), Barry Frey (CEO and Director of the DPAA)</v>
      </c>
      <c r="G474" s="60">
        <f>IFERROR(__xludf.DUMMYFUNCTION("""COMPUTED_VALUE"""),3.0E8)</f>
        <v>300000000</v>
      </c>
      <c r="H474" s="60" t="str">
        <f>IFERROR(__xludf.DUMMYFUNCTION("""COMPUTED_VALUE""")," ")</f>
        <v> </v>
      </c>
      <c r="I474" s="61" t="str">
        <f>IFERROR(__xludf.DUMMYFUNCTION("""COMPUTED_VALUE""")," ")</f>
        <v> </v>
      </c>
      <c r="J474" s="62" t="str">
        <f>IFERROR(__xludf.DUMMYFUNCTION("""COMPUTED_VALUE""")," ")</f>
        <v> </v>
      </c>
      <c r="K474" s="59" t="str">
        <f>IFERROR(__xludf.DUMMYFUNCTION("""COMPUTED_VALUE""")," ")</f>
        <v> </v>
      </c>
      <c r="L474" s="63" t="str">
        <f>IFERROR(__xludf.DUMMYFUNCTION("""COMPUTED_VALUE""")," ")</f>
        <v> </v>
      </c>
      <c r="M474" s="64" t="str">
        <f>IFERROR(__xludf.DUMMYFUNCTION("""COMPUTED_VALUE"""),"U: [1/4 W]; W: [1:1, $11.5]")</f>
        <v>U: [1/4 W]; W: [1:1, $11.5]</v>
      </c>
      <c r="N474" s="65" t="str">
        <f>IFERROR(__xludf.DUMMYFUNCTION("""COMPUTED_VALUE"""),"")</f>
        <v/>
      </c>
      <c r="O474" s="66">
        <f>IFERROR(__xludf.DUMMYFUNCTION("""COMPUTED_VALUE"""),0.0)</f>
        <v>0</v>
      </c>
      <c r="P474" s="67"/>
      <c r="Q474" s="68">
        <f>IFERROR(__xludf.DUMMYFUNCTION("""COMPUTED_VALUE"""),300.0)</f>
        <v>300</v>
      </c>
      <c r="R474" s="69" t="str">
        <f>IFERROR(__xludf.DUMMYFUNCTION("""COMPUTED_VALUE"""),"Morgan Stanley, Citigroup")</f>
        <v>Morgan Stanley, Citigroup</v>
      </c>
      <c r="S474" s="64">
        <f>IFERROR(__xludf.DUMMYFUNCTION("""COMPUTED_VALUE"""),45086.0)</f>
        <v>45086</v>
      </c>
      <c r="T474" s="70" t="str">
        <f>IFERROR(__xludf.DUMMYFUNCTION("""COMPUTED_VALUE"""),"")</f>
        <v/>
      </c>
      <c r="U474" s="71" t="str">
        <f>IFERROR(__xludf.DUMMYFUNCTION("""COMPUTED_VALUE"""),"https://www.sec.gov/cgi-bin/browse-edgar?CIK=1854074")</f>
        <v>https://www.sec.gov/cgi-bin/browse-edgar?CIK=1854074</v>
      </c>
      <c r="V474" s="72" t="str">
        <f>IFERROR(__xludf.DUMMYFUNCTION("""COMPUTED_VALUE"""),"        New Registration   Top Tier UW ")</f>
        <v>        New Registration   Top Tier UW </v>
      </c>
      <c r="W474" s="73"/>
      <c r="X474" s="74"/>
      <c r="Y474" s="75"/>
      <c r="Z474" s="60"/>
      <c r="AA474" s="60"/>
      <c r="AB474" s="60"/>
      <c r="AC474" s="60"/>
      <c r="AD474" s="73"/>
      <c r="AE474" s="73"/>
      <c r="AF474" s="76"/>
      <c r="AG474" s="60"/>
    </row>
    <row r="475">
      <c r="A475" s="54" t="str">
        <f>IFERROR(__xludf.DUMMYFUNCTION("""COMPUTED_VALUE"""),"LRIS")</f>
        <v>LRIS</v>
      </c>
      <c r="B475" s="55" t="str">
        <f>IFERROR(__xludf.DUMMYFUNCTION("""COMPUTED_VALUE"""),"Laris Media Acquisition Corp")</f>
        <v>Laris Media Acquisition Corp</v>
      </c>
      <c r="C475" s="56" t="str">
        <f>IFERROR(__xludf.DUMMYFUNCTION("""COMPUTED_VALUE"""),"Pre IPO")</f>
        <v>Pre IPO</v>
      </c>
      <c r="D475" s="77" t="str">
        <f>IFERROR(__xludf.DUMMYFUNCTION("""COMPUTED_VALUE"""),"Music and Audio")</f>
        <v>Music and Audio</v>
      </c>
      <c r="E475" s="58"/>
      <c r="F475" s="59" t="str">
        <f>IFERROR(__xludf.DUMMYFUNCTION("""COMPUTED_VALUE"""),"Darren Throop (CEO of Entertainment One (“eOne”), and Director of IMAX Corporation), Simon Katz (Band member of Jamiroquai and Gorillaz, Senior A&amp;R executive at Republic Records, and Founder of Grand Central)")</f>
        <v>Darren Throop (CEO of Entertainment One (“eOne”), and Director of IMAX Corporation), Simon Katz (Band member of Jamiroquai and Gorillaz, Senior A&amp;R executive at Republic Records, and Founder of Grand Central)</v>
      </c>
      <c r="G475" s="60">
        <f>IFERROR(__xludf.DUMMYFUNCTION("""COMPUTED_VALUE"""),2.5E8)</f>
        <v>250000000</v>
      </c>
      <c r="H475" s="60" t="str">
        <f>IFERROR(__xludf.DUMMYFUNCTION("""COMPUTED_VALUE""")," ")</f>
        <v> </v>
      </c>
      <c r="I475" s="61" t="str">
        <f>IFERROR(__xludf.DUMMYFUNCTION("""COMPUTED_VALUE""")," ")</f>
        <v> </v>
      </c>
      <c r="J475" s="62" t="str">
        <f>IFERROR(__xludf.DUMMYFUNCTION("""COMPUTED_VALUE""")," ")</f>
        <v> </v>
      </c>
      <c r="K475" s="59" t="str">
        <f>IFERROR(__xludf.DUMMYFUNCTION("""COMPUTED_VALUE""")," ")</f>
        <v> </v>
      </c>
      <c r="L475" s="63" t="str">
        <f>IFERROR(__xludf.DUMMYFUNCTION("""COMPUTED_VALUE""")," ")</f>
        <v> </v>
      </c>
      <c r="M475" s="64" t="str">
        <f>IFERROR(__xludf.DUMMYFUNCTION("""COMPUTED_VALUE"""),"U: [1/3 W]; W: [1:1, $11.5]")</f>
        <v>U: [1/3 W]; W: [1:1, $11.5]</v>
      </c>
      <c r="N475" s="65" t="str">
        <f>IFERROR(__xludf.DUMMYFUNCTION("""COMPUTED_VALUE"""),"")</f>
        <v/>
      </c>
      <c r="O475" s="66">
        <f>IFERROR(__xludf.DUMMYFUNCTION("""COMPUTED_VALUE"""),0.0)</f>
        <v>0</v>
      </c>
      <c r="P475" s="67"/>
      <c r="Q475" s="68">
        <f>IFERROR(__xludf.DUMMYFUNCTION("""COMPUTED_VALUE"""),250.0)</f>
        <v>250</v>
      </c>
      <c r="R475" s="69" t="str">
        <f>IFERROR(__xludf.DUMMYFUNCTION("""COMPUTED_VALUE"""),"Morgan Stanley, Credit Suisse")</f>
        <v>Morgan Stanley, Credit Suisse</v>
      </c>
      <c r="S475" s="64">
        <f>IFERROR(__xludf.DUMMYFUNCTION("""COMPUTED_VALUE"""),45086.0)</f>
        <v>45086</v>
      </c>
      <c r="T475" s="70" t="str">
        <f>IFERROR(__xludf.DUMMYFUNCTION("""COMPUTED_VALUE"""),"")</f>
        <v/>
      </c>
      <c r="U475" s="71" t="str">
        <f>IFERROR(__xludf.DUMMYFUNCTION("""COMPUTED_VALUE"""),"https://www.sec.gov/cgi-bin/browse-edgar?CIK=1852341")</f>
        <v>https://www.sec.gov/cgi-bin/browse-edgar?CIK=1852341</v>
      </c>
      <c r="V475" s="72" t="str">
        <f>IFERROR(__xludf.DUMMYFUNCTION("""COMPUTED_VALUE"""),"         Well-known Sponsor  Top Tier UW ")</f>
        <v>         Well-known Sponsor  Top Tier UW </v>
      </c>
      <c r="W475" s="73"/>
      <c r="X475" s="74"/>
      <c r="Y475" s="75"/>
      <c r="Z475" s="60"/>
      <c r="AA475" s="60"/>
      <c r="AB475" s="60"/>
      <c r="AC475" s="60"/>
      <c r="AD475" s="73"/>
      <c r="AE475" s="73"/>
      <c r="AF475" s="76"/>
      <c r="AG475" s="60"/>
    </row>
    <row r="476">
      <c r="A476" s="54" t="str">
        <f>IFERROR(__xludf.DUMMYFUNCTION("""COMPUTED_VALUE"""),"LSAQ")</f>
        <v>LSAQ</v>
      </c>
      <c r="B476" s="55" t="str">
        <f>IFERROR(__xludf.DUMMYFUNCTION("""COMPUTED_VALUE"""),"LifeSci Acquisition II Corp")</f>
        <v>LifeSci Acquisition II Corp</v>
      </c>
      <c r="C476" s="56" t="str">
        <f>IFERROR(__xludf.DUMMYFUNCTION("""COMPUTED_VALUE"""),"Searching")</f>
        <v>Searching</v>
      </c>
      <c r="D476" s="57" t="str">
        <f>IFERROR(__xludf.DUMMYFUNCTION("""COMPUTED_VALUE"""),"Healthcare")</f>
        <v>Healthcare</v>
      </c>
      <c r="E476" s="58"/>
      <c r="F476" s="59"/>
      <c r="G476" s="60">
        <f>IFERROR(__xludf.DUMMYFUNCTION("""COMPUTED_VALUE"""),8.0095253E7)</f>
        <v>80095253</v>
      </c>
      <c r="H476" s="60">
        <f>IFERROR(__xludf.DUMMYFUNCTION("""COMPUTED_VALUE"""),1.03616965E8)</f>
        <v>103616965</v>
      </c>
      <c r="I476" s="61">
        <f>IFERROR(__xludf.DUMMYFUNCTION("""COMPUTED_VALUE"""),10.35)</f>
        <v>10.35</v>
      </c>
      <c r="J476" s="62">
        <f>IFERROR(__xludf.DUMMYFUNCTION("""COMPUTED_VALUE"""),0.00194)</f>
        <v>0.00194</v>
      </c>
      <c r="K476" s="59" t="str">
        <f>IFERROR(__xludf.DUMMYFUNCTION("""COMPUTED_VALUE""")," ")</f>
        <v> </v>
      </c>
      <c r="L476" s="63" t="str">
        <f>IFERROR(__xludf.DUMMYFUNCTION("""COMPUTED_VALUE""")," ")</f>
        <v> </v>
      </c>
      <c r="M476" s="64" t="str">
        <f>IFERROR(__xludf.DUMMYFUNCTION("""COMPUTED_VALUE"""),"U: [No units]; W: [No warrants]")</f>
        <v>U: [No units]; W: [No warrants]</v>
      </c>
      <c r="N476" s="65" t="str">
        <f>IFERROR(__xludf.DUMMYFUNCTION("""COMPUTED_VALUE"""),"")</f>
        <v/>
      </c>
      <c r="O476" s="66" t="str">
        <f>IFERROR(__xludf.DUMMYFUNCTION("""COMPUTED_VALUE"""),"")</f>
        <v/>
      </c>
      <c r="P476" s="67">
        <f>IFERROR(__xludf.DUMMYFUNCTION("""COMPUTED_VALUE"""),44155.0)</f>
        <v>44155</v>
      </c>
      <c r="Q476" s="68">
        <f>IFERROR(__xludf.DUMMYFUNCTION("""COMPUTED_VALUE"""),80.09041)</f>
        <v>80.09041</v>
      </c>
      <c r="R476" s="85" t="str">
        <f>IFERROR(__xludf.DUMMYFUNCTION("""COMPUTED_VALUE"""),"LifeSci Capital")</f>
        <v>LifeSci Capital</v>
      </c>
      <c r="S476" s="64">
        <f>IFERROR(__xludf.DUMMYFUNCTION("""COMPUTED_VALUE"""),44885.0)</f>
        <v>44885</v>
      </c>
      <c r="T476" s="70">
        <f>IFERROR(__xludf.DUMMYFUNCTION("""COMPUTED_VALUE"""),0.19315068493150686)</f>
        <v>0.1931506849</v>
      </c>
      <c r="U476" s="71" t="str">
        <f>IFERROR(__xludf.DUMMYFUNCTION("""COMPUTED_VALUE"""),"https://www.sec.gov/cgi-bin/browse-edgar?CIK=1819113")</f>
        <v>https://www.sec.gov/cgi-bin/browse-edgar?CIK=1819113</v>
      </c>
      <c r="V476" s="72" t="str">
        <f>IFERROR(__xludf.DUMMYFUNCTION("""COMPUTED_VALUE"""),"            ")</f>
        <v>            </v>
      </c>
      <c r="W476" s="73"/>
      <c r="X476" s="74"/>
      <c r="Y476" s="75"/>
      <c r="Z476" s="60"/>
      <c r="AA476" s="60"/>
      <c r="AB476" s="60"/>
      <c r="AC476" s="60"/>
      <c r="AD476" s="73"/>
      <c r="AE476" s="73"/>
      <c r="AF476" s="76"/>
      <c r="AG476" s="60" t="str">
        <f>IFERROR(__xludf.DUMMYFUNCTION("""COMPUTED_VALUE"""),"")</f>
        <v/>
      </c>
    </row>
    <row r="477">
      <c r="A477" s="54" t="str">
        <f>IFERROR(__xludf.DUMMYFUNCTION("""COMPUTED_VALUE"""),"LUXA")</f>
        <v>LUXA</v>
      </c>
      <c r="B477" s="55" t="str">
        <f>IFERROR(__xludf.DUMMYFUNCTION("""COMPUTED_VALUE"""),"Lux Health Tech Acquisition Corp.")</f>
        <v>Lux Health Tech Acquisition Corp.</v>
      </c>
      <c r="C477" s="56" t="str">
        <f>IFERROR(__xludf.DUMMYFUNCTION("""COMPUTED_VALUE"""),"Searching")</f>
        <v>Searching</v>
      </c>
      <c r="D477" s="57" t="str">
        <f>IFERROR(__xludf.DUMMYFUNCTION("""COMPUTED_VALUE"""),"Healthcare Tech")</f>
        <v>Healthcare Tech</v>
      </c>
      <c r="E477" s="58"/>
      <c r="F477" s="59" t="str">
        <f>IFERROR(__xludf.DUMMYFUNCTION("""COMPUTED_VALUE"""),"Peter Hébert (Co-founder/MP, Lux Capital), Senator Bob Kerrey (Fmr Senator from Nebraska)")</f>
        <v>Peter Hébert (Co-founder/MP, Lux Capital), Senator Bob Kerrey (Fmr Senator from Nebraska)</v>
      </c>
      <c r="G477" s="60">
        <f>IFERROR(__xludf.DUMMYFUNCTION("""COMPUTED_VALUE"""),3.45003572E8)</f>
        <v>345003572</v>
      </c>
      <c r="H477" s="60">
        <f>IFERROR(__xludf.DUMMYFUNCTION("""COMPUTED_VALUE"""),3.5949E8)</f>
        <v>359490000</v>
      </c>
      <c r="I477" s="61">
        <f>IFERROR(__xludf.DUMMYFUNCTION("""COMPUTED_VALUE"""),10.42)</f>
        <v>10.42</v>
      </c>
      <c r="J477" s="62">
        <f>IFERROR(__xludf.DUMMYFUNCTION("""COMPUTED_VALUE"""),-0.00192)</f>
        <v>-0.00192</v>
      </c>
      <c r="K477" s="59">
        <f>IFERROR(__xludf.DUMMYFUNCTION("""COMPUTED_VALUE"""),10.9)</f>
        <v>10.9</v>
      </c>
      <c r="L477" s="63">
        <f>IFERROR(__xludf.DUMMYFUNCTION("""COMPUTED_VALUE"""),1.57)</f>
        <v>1.57</v>
      </c>
      <c r="M477" s="64" t="str">
        <f>IFERROR(__xludf.DUMMYFUNCTION("""COMPUTED_VALUE"""),"U: [1/3 W]; W: [1:1, $11.5]")</f>
        <v>U: [1/3 W]; W: [1:1, $11.5]</v>
      </c>
      <c r="N477" s="65" t="str">
        <f>IFERROR(__xludf.DUMMYFUNCTION("""COMPUTED_VALUE"""),"")</f>
        <v/>
      </c>
      <c r="O477" s="66">
        <f>IFERROR(__xludf.DUMMYFUNCTION("""COMPUTED_VALUE"""),0.0)</f>
        <v>0</v>
      </c>
      <c r="P477" s="67">
        <f>IFERROR(__xludf.DUMMYFUNCTION("""COMPUTED_VALUE"""),44130.0)</f>
        <v>44130</v>
      </c>
      <c r="Q477" s="68">
        <f>IFERROR(__xludf.DUMMYFUNCTION("""COMPUTED_VALUE"""),345.0)</f>
        <v>345</v>
      </c>
      <c r="R477" s="85" t="str">
        <f>IFERROR(__xludf.DUMMYFUNCTION("""COMPUTED_VALUE"""),"Credit Suisse, Stifel")</f>
        <v>Credit Suisse, Stifel</v>
      </c>
      <c r="S477" s="64">
        <f>IFERROR(__xludf.DUMMYFUNCTION("""COMPUTED_VALUE"""),44860.0)</f>
        <v>44860</v>
      </c>
      <c r="T477" s="70">
        <f>IFERROR(__xludf.DUMMYFUNCTION("""COMPUTED_VALUE"""),0.2273972602739726)</f>
        <v>0.2273972603</v>
      </c>
      <c r="U477" s="71" t="str">
        <f>IFERROR(__xludf.DUMMYFUNCTION("""COMPUTED_VALUE"""),"https://www.sec.gov/cgi-bin/browse-edgar?CIK=1823767")</f>
        <v>https://www.sec.gov/cgi-bin/browse-edgar?CIK=1823767</v>
      </c>
      <c r="V477" s="72" t="str">
        <f>IFERROR(__xludf.DUMMYFUNCTION("""COMPUTED_VALUE"""),"Venture Capital     Optionable    Well-known Sponsor   ")</f>
        <v>Venture Capital     Optionable    Well-known Sponsor   </v>
      </c>
      <c r="W477" s="73"/>
      <c r="X477" s="74"/>
      <c r="Y477" s="75"/>
      <c r="Z477" s="60"/>
      <c r="AA477" s="60"/>
      <c r="AB477" s="60"/>
      <c r="AC477" s="60"/>
      <c r="AD477" s="73"/>
      <c r="AE477" s="73"/>
      <c r="AF477" s="76"/>
      <c r="AG477" s="60" t="str">
        <f>IFERROR(__xludf.DUMMYFUNCTION("""COMPUTED_VALUE"""),"")</f>
        <v/>
      </c>
    </row>
    <row r="478">
      <c r="A478" s="54" t="str">
        <f>IFERROR(__xludf.DUMMYFUNCTION("""COMPUTED_VALUE"""),"LVRA")</f>
        <v>LVRA</v>
      </c>
      <c r="B478" s="55" t="str">
        <f>IFERROR(__xludf.DUMMYFUNCTION("""COMPUTED_VALUE"""),"Levere Holdings Corp.")</f>
        <v>Levere Holdings Corp.</v>
      </c>
      <c r="C478" s="56" t="str">
        <f>IFERROR(__xludf.DUMMYFUNCTION("""COMPUTED_VALUE"""),"Searching (Pre Unit Split)")</f>
        <v>Searching (Pre Unit Split)</v>
      </c>
      <c r="D478" s="77" t="str">
        <f>IFERROR(__xludf.DUMMYFUNCTION("""COMPUTED_VALUE"""),"Mobility in Europe, Middle East and Africa")</f>
        <v>Mobility in Europe, Middle East and Africa</v>
      </c>
      <c r="E478" s="58"/>
      <c r="F478" s="59" t="str">
        <f>IFERROR(__xludf.DUMMYFUNCTION("""COMPUTED_VALUE"""),"Martin Varsavsky (Founder, Viatel; Jazztel), Stefan Krause (Founder, Canoo; Fmr CFO, Deutsche Bank), Bodo Uebber (Fmr CFO, Daimler; Fmr Chairman, Airbus; Supervisory Board Member, Adidas)")</f>
        <v>Martin Varsavsky (Founder, Viatel; Jazztel), Stefan Krause (Founder, Canoo; Fmr CFO, Deutsche Bank), Bodo Uebber (Fmr CFO, Daimler; Fmr Chairman, Airbus; Supervisory Board Member, Adidas)</v>
      </c>
      <c r="G478" s="60">
        <f>IFERROR(__xludf.DUMMYFUNCTION("""COMPUTED_VALUE"""),2.5E8)</f>
        <v>250000000</v>
      </c>
      <c r="H478" s="60" t="str">
        <f>IFERROR(__xludf.DUMMYFUNCTION("""COMPUTED_VALUE""")," ")</f>
        <v> </v>
      </c>
      <c r="I478" s="61" t="str">
        <f>IFERROR(__xludf.DUMMYFUNCTION("""COMPUTED_VALUE""")," ")</f>
        <v> </v>
      </c>
      <c r="J478" s="62" t="str">
        <f>IFERROR(__xludf.DUMMYFUNCTION("""COMPUTED_VALUE""")," ")</f>
        <v> </v>
      </c>
      <c r="K478" s="59">
        <f>IFERROR(__xludf.DUMMYFUNCTION("""COMPUTED_VALUE"""),10.21)</f>
        <v>10.21</v>
      </c>
      <c r="L478" s="63" t="str">
        <f>IFERROR(__xludf.DUMMYFUNCTION("""COMPUTED_VALUE""")," ")</f>
        <v> </v>
      </c>
      <c r="M478" s="64" t="str">
        <f>IFERROR(__xludf.DUMMYFUNCTION("""COMPUTED_VALUE"""),"U: [1/3 W]; W: [1:1, $11.5]")</f>
        <v>U: [1/3 W]; W: [1:1, $11.5]</v>
      </c>
      <c r="N478" s="65">
        <f>IFERROR(__xludf.DUMMYFUNCTION("""COMPUTED_VALUE"""),44325.0)</f>
        <v>44325</v>
      </c>
      <c r="O478" s="66" t="str">
        <f>IFERROR(__xludf.DUMMYFUNCTION("""COMPUTED_VALUE"""),"")</f>
        <v/>
      </c>
      <c r="P478" s="67">
        <f>IFERROR(__xludf.DUMMYFUNCTION("""COMPUTED_VALUE"""),44273.0)</f>
        <v>44273</v>
      </c>
      <c r="Q478" s="68">
        <f>IFERROR(__xludf.DUMMYFUNCTION("""COMPUTED_VALUE"""),250.0)</f>
        <v>250</v>
      </c>
      <c r="R478" s="69" t="str">
        <f>IFERROR(__xludf.DUMMYFUNCTION("""COMPUTED_VALUE"""),"Citigroup, Deutsche Bank Securities")</f>
        <v>Citigroup, Deutsche Bank Securities</v>
      </c>
      <c r="S478" s="64">
        <f>IFERROR(__xludf.DUMMYFUNCTION("""COMPUTED_VALUE"""),45003.0)</f>
        <v>45003</v>
      </c>
      <c r="T478" s="70">
        <f>IFERROR(__xludf.DUMMYFUNCTION("""COMPUTED_VALUE"""),0.031506849315068496)</f>
        <v>0.03150684932</v>
      </c>
      <c r="U478" s="71" t="str">
        <f>IFERROR(__xludf.DUMMYFUNCTION("""COMPUTED_VALUE"""),"https://www.sec.gov/cgi-bin/browse-edgar?CIK=1841383")</f>
        <v>https://www.sec.gov/cgi-bin/browse-edgar?CIK=1841383</v>
      </c>
      <c r="V478" s="72" t="str">
        <f>IFERROR(__xludf.DUMMYFUNCTION("""COMPUTED_VALUE"""),"         Well-known Sponsor  Top Tier UW ")</f>
        <v>         Well-known Sponsor  Top Tier UW </v>
      </c>
      <c r="W478" s="73"/>
      <c r="X478" s="74"/>
      <c r="Y478" s="75"/>
      <c r="Z478" s="60"/>
      <c r="AA478" s="60"/>
      <c r="AB478" s="60"/>
      <c r="AC478" s="60"/>
      <c r="AD478" s="73"/>
      <c r="AE478" s="73"/>
      <c r="AF478" s="76"/>
      <c r="AG478" s="60"/>
    </row>
    <row r="479">
      <c r="A479" s="54" t="str">
        <f>IFERROR(__xludf.DUMMYFUNCTION("""COMPUTED_VALUE"""),"LWAC")</f>
        <v>LWAC</v>
      </c>
      <c r="B479" s="55" t="str">
        <f>IFERROR(__xludf.DUMMYFUNCTION("""COMPUTED_VALUE"""),"Locust Walk Acquisition Corp.")</f>
        <v>Locust Walk Acquisition Corp.</v>
      </c>
      <c r="C479" s="56" t="str">
        <f>IFERROR(__xludf.DUMMYFUNCTION("""COMPUTED_VALUE"""),"Searching")</f>
        <v>Searching</v>
      </c>
      <c r="D479" s="57" t="str">
        <f>IFERROR(__xludf.DUMMYFUNCTION("""COMPUTED_VALUE"""),"Life Sciences, Healthcare")</f>
        <v>Life Sciences, Healthcare</v>
      </c>
      <c r="E479" s="58"/>
      <c r="F479" s="59"/>
      <c r="G479" s="60">
        <f>IFERROR(__xludf.DUMMYFUNCTION("""COMPUTED_VALUE"""),1.75E8)</f>
        <v>175000000</v>
      </c>
      <c r="H479" s="60">
        <f>IFERROR(__xludf.DUMMYFUNCTION("""COMPUTED_VALUE"""),1.7954775E8)</f>
        <v>179547750</v>
      </c>
      <c r="I479" s="61">
        <f>IFERROR(__xludf.DUMMYFUNCTION("""COMPUTED_VALUE"""),9.95)</f>
        <v>9.95</v>
      </c>
      <c r="J479" s="62">
        <f>IFERROR(__xludf.DUMMYFUNCTION("""COMPUTED_VALUE"""),0.00811)</f>
        <v>0.00811</v>
      </c>
      <c r="K479" s="59">
        <f>IFERROR(__xludf.DUMMYFUNCTION("""COMPUTED_VALUE"""),10.15)</f>
        <v>10.15</v>
      </c>
      <c r="L479" s="63">
        <f>IFERROR(__xludf.DUMMYFUNCTION("""COMPUTED_VALUE"""),0.7999)</f>
        <v>0.7999</v>
      </c>
      <c r="M479" s="64" t="str">
        <f>IFERROR(__xludf.DUMMYFUNCTION("""COMPUTED_VALUE"""),"U: [1/3 W]; W: [1:1, $11.5]")</f>
        <v>U: [1/3 W]; W: [1:1, $11.5]</v>
      </c>
      <c r="N479" s="65">
        <f>IFERROR(__xludf.DUMMYFUNCTION("""COMPUTED_VALUE"""),44256.0)</f>
        <v>44256</v>
      </c>
      <c r="O479" s="66">
        <f>IFERROR(__xludf.DUMMYFUNCTION("""COMPUTED_VALUE"""),0.0)</f>
        <v>0</v>
      </c>
      <c r="P479" s="67">
        <f>IFERROR(__xludf.DUMMYFUNCTION("""COMPUTED_VALUE"""),44203.0)</f>
        <v>44203</v>
      </c>
      <c r="Q479" s="68">
        <f>IFERROR(__xludf.DUMMYFUNCTION("""COMPUTED_VALUE"""),175.0)</f>
        <v>175</v>
      </c>
      <c r="R479" s="85" t="str">
        <f>IFERROR(__xludf.DUMMYFUNCTION("""COMPUTED_VALUE"""),"Cantor")</f>
        <v>Cantor</v>
      </c>
      <c r="S479" s="64">
        <f>IFERROR(__xludf.DUMMYFUNCTION("""COMPUTED_VALUE"""),44933.0)</f>
        <v>44933</v>
      </c>
      <c r="T479" s="70">
        <f>IFERROR(__xludf.DUMMYFUNCTION("""COMPUTED_VALUE"""),0.1273972602739726)</f>
        <v>0.1273972603</v>
      </c>
      <c r="U479" s="71" t="str">
        <f>IFERROR(__xludf.DUMMYFUNCTION("""COMPUTED_VALUE"""),"https://www.sec.gov/cgi-bin/browse-edgar?CIK=1828522")</f>
        <v>https://www.sec.gov/cgi-bin/browse-edgar?CIK=1828522</v>
      </c>
      <c r="V479" s="72" t="str">
        <f>IFERROR(__xludf.DUMMYFUNCTION("""COMPUTED_VALUE""")," Trading Below $10 (Common)           ")</f>
        <v> Trading Below $10 (Common)           </v>
      </c>
      <c r="W479" s="73"/>
      <c r="X479" s="74"/>
      <c r="Y479" s="75"/>
      <c r="Z479" s="60"/>
      <c r="AA479" s="60"/>
      <c r="AB479" s="60"/>
      <c r="AC479" s="60"/>
      <c r="AD479" s="73"/>
      <c r="AE479" s="73"/>
      <c r="AF479" s="76"/>
      <c r="AG479" s="60" t="str">
        <f>IFERROR(__xludf.DUMMYFUNCTION("""COMPUTED_VALUE"""),"")</f>
        <v/>
      </c>
    </row>
    <row r="480">
      <c r="A480" s="54" t="str">
        <f>IFERROR(__xludf.DUMMYFUNCTION("""COMPUTED_VALUE"""),"MAAC")</f>
        <v>MAAC</v>
      </c>
      <c r="B480" s="55" t="str">
        <f>IFERROR(__xludf.DUMMYFUNCTION("""COMPUTED_VALUE"""),"Montes Archimedes Acquisition Corp.")</f>
        <v>Montes Archimedes Acquisition Corp.</v>
      </c>
      <c r="C480" s="56" t="str">
        <f>IFERROR(__xludf.DUMMYFUNCTION("""COMPUTED_VALUE"""),"Searching")</f>
        <v>Searching</v>
      </c>
      <c r="D480" s="57" t="str">
        <f>IFERROR(__xludf.DUMMYFUNCTION("""COMPUTED_VALUE"""),"Healthcare")</f>
        <v>Healthcare</v>
      </c>
      <c r="E480" s="58"/>
      <c r="F480" s="59"/>
      <c r="G480" s="60">
        <f>IFERROR(__xludf.DUMMYFUNCTION("""COMPUTED_VALUE"""),4.10803411E8)</f>
        <v>410803411</v>
      </c>
      <c r="H480" s="60">
        <f>IFERROR(__xludf.DUMMYFUNCTION("""COMPUTED_VALUE"""),4.0373602E8)</f>
        <v>403736020</v>
      </c>
      <c r="I480" s="61">
        <f>IFERROR(__xludf.DUMMYFUNCTION("""COMPUTED_VALUE"""),9.83)</f>
        <v>9.83</v>
      </c>
      <c r="J480" s="62"/>
      <c r="K480" s="59">
        <f>IFERROR(__xludf.DUMMYFUNCTION("""COMPUTED_VALUE"""),10.3)</f>
        <v>10.3</v>
      </c>
      <c r="L480" s="63">
        <f>IFERROR(__xludf.DUMMYFUNCTION("""COMPUTED_VALUE"""),0.98)</f>
        <v>0.98</v>
      </c>
      <c r="M480" s="64" t="str">
        <f>IFERROR(__xludf.DUMMYFUNCTION("""COMPUTED_VALUE"""),"U: [1/2 W]; W: [1:1, $11.5]")</f>
        <v>U: [1/2 W]; W: [1:1, $11.5]</v>
      </c>
      <c r="N480" s="65" t="str">
        <f>IFERROR(__xludf.DUMMYFUNCTION("""COMPUTED_VALUE"""),"")</f>
        <v/>
      </c>
      <c r="O480" s="66">
        <f>IFERROR(__xludf.DUMMYFUNCTION("""COMPUTED_VALUE"""),0.0)</f>
        <v>0</v>
      </c>
      <c r="P480" s="67">
        <f>IFERROR(__xludf.DUMMYFUNCTION("""COMPUTED_VALUE"""),44110.0)</f>
        <v>44110</v>
      </c>
      <c r="Q480" s="68">
        <f>IFERROR(__xludf.DUMMYFUNCTION("""COMPUTED_VALUE"""),410.71823)</f>
        <v>410.71823</v>
      </c>
      <c r="R480" s="85" t="str">
        <f>IFERROR(__xludf.DUMMYFUNCTION("""COMPUTED_VALUE"""),"Citigroup, Jefferies")</f>
        <v>Citigroup, Jefferies</v>
      </c>
      <c r="S480" s="64">
        <f>IFERROR(__xludf.DUMMYFUNCTION("""COMPUTED_VALUE"""),44840.0)</f>
        <v>44840</v>
      </c>
      <c r="T480" s="70">
        <f>IFERROR(__xludf.DUMMYFUNCTION("""COMPUTED_VALUE"""),0.2547945205479452)</f>
        <v>0.2547945205</v>
      </c>
      <c r="U480" s="71" t="str">
        <f>IFERROR(__xludf.DUMMYFUNCTION("""COMPUTED_VALUE"""),"https://www.sec.gov/cgi-bin/browse-edgar?CIK=1819263")</f>
        <v>https://www.sec.gov/cgi-bin/browse-edgar?CIK=1819263</v>
      </c>
      <c r="V480" s="72" t="str">
        <f>IFERROR(__xludf.DUMMYFUNCTION("""COMPUTED_VALUE""")," Trading Below $10 (Common)          Top Tier UW ")</f>
        <v> Trading Below $10 (Common)          Top Tier UW </v>
      </c>
      <c r="W480" s="73"/>
      <c r="X480" s="74"/>
      <c r="Y480" s="75"/>
      <c r="Z480" s="60"/>
      <c r="AA480" s="60"/>
      <c r="AB480" s="60"/>
      <c r="AC480" s="60"/>
      <c r="AD480" s="73"/>
      <c r="AE480" s="73"/>
      <c r="AF480" s="76"/>
      <c r="AG480" s="60" t="str">
        <f>IFERROR(__xludf.DUMMYFUNCTION("""COMPUTED_VALUE"""),"")</f>
        <v/>
      </c>
    </row>
    <row r="481">
      <c r="A481" s="54" t="str">
        <f>IFERROR(__xludf.DUMMYFUNCTION("""COMPUTED_VALUE"""),"MACA")</f>
        <v>MACA</v>
      </c>
      <c r="B481" s="55" t="str">
        <f>IFERROR(__xludf.DUMMYFUNCTION("""COMPUTED_VALUE"""),"Moringa Acquisition Corp")</f>
        <v>Moringa Acquisition Corp</v>
      </c>
      <c r="C481" s="56" t="str">
        <f>IFERROR(__xludf.DUMMYFUNCTION("""COMPUTED_VALUE"""),"Searching")</f>
        <v>Searching</v>
      </c>
      <c r="D481" s="77" t="str">
        <f>IFERROR(__xludf.DUMMYFUNCTION("""COMPUTED_VALUE"""),"Tech, Israel")</f>
        <v>Tech, Israel</v>
      </c>
      <c r="E481" s="58"/>
      <c r="F481" s="59"/>
      <c r="G481" s="60">
        <f>IFERROR(__xludf.DUMMYFUNCTION("""COMPUTED_VALUE"""),1.0E8)</f>
        <v>100000000</v>
      </c>
      <c r="H481" s="60">
        <f>IFERROR(__xludf.DUMMYFUNCTION("""COMPUTED_VALUE"""),1.194406E8)</f>
        <v>119440600</v>
      </c>
      <c r="I481" s="66">
        <f>IFERROR(__xludf.DUMMYFUNCTION("""COMPUTED_VALUE"""),9.97)</f>
        <v>9.97</v>
      </c>
      <c r="J481" s="62">
        <f>IFERROR(__xludf.DUMMYFUNCTION("""COMPUTED_VALUE"""),-0.02063)</f>
        <v>-0.02063</v>
      </c>
      <c r="K481" s="59">
        <f>IFERROR(__xludf.DUMMYFUNCTION("""COMPUTED_VALUE"""),10.1)</f>
        <v>10.1</v>
      </c>
      <c r="L481" s="87">
        <f>IFERROR(__xludf.DUMMYFUNCTION("""COMPUTED_VALUE"""),0.67)</f>
        <v>0.67</v>
      </c>
      <c r="M481" s="64" t="str">
        <f>IFERROR(__xludf.DUMMYFUNCTION("""COMPUTED_VALUE"""),"U: [1/2 W]; W: [1:1, $11.5]")</f>
        <v>U: [1/2 W]; W: [1:1, $11.5]</v>
      </c>
      <c r="N481" s="65">
        <f>IFERROR(__xludf.DUMMYFUNCTION("""COMPUTED_VALUE"""),44293.0)</f>
        <v>44293</v>
      </c>
      <c r="O481" s="66">
        <f>IFERROR(__xludf.DUMMYFUNCTION("""COMPUTED_VALUE"""),0.0)</f>
        <v>0</v>
      </c>
      <c r="P481" s="67">
        <f>IFERROR(__xludf.DUMMYFUNCTION("""COMPUTED_VALUE"""),44243.0)</f>
        <v>44243</v>
      </c>
      <c r="Q481" s="68">
        <f>IFERROR(__xludf.DUMMYFUNCTION("""COMPUTED_VALUE"""),100.0)</f>
        <v>100</v>
      </c>
      <c r="R481" s="85" t="str">
        <f>IFERROR(__xludf.DUMMYFUNCTION("""COMPUTED_VALUE"""),"EarlyBirdCapital, Inc, Moelis &amp; Company")</f>
        <v>EarlyBirdCapital, Inc, Moelis &amp; Company</v>
      </c>
      <c r="S481" s="64">
        <f>IFERROR(__xludf.DUMMYFUNCTION("""COMPUTED_VALUE"""),44973.0)</f>
        <v>44973</v>
      </c>
      <c r="T481" s="70">
        <f>IFERROR(__xludf.DUMMYFUNCTION("""COMPUTED_VALUE"""),0.07260273972602739)</f>
        <v>0.07260273973</v>
      </c>
      <c r="U481" s="71" t="str">
        <f>IFERROR(__xludf.DUMMYFUNCTION("""COMPUTED_VALUE"""),"https://www.sec.gov/cgi-bin/browse-edgar?CIK=1835416")</f>
        <v>https://www.sec.gov/cgi-bin/browse-edgar?CIK=1835416</v>
      </c>
      <c r="V481" s="72" t="str">
        <f>IFERROR(__xludf.DUMMYFUNCTION("""COMPUTED_VALUE""")," Trading Below $10 (Common)           ")</f>
        <v> Trading Below $10 (Common)           </v>
      </c>
      <c r="W481" s="73"/>
      <c r="X481" s="74"/>
      <c r="Y481" s="75"/>
      <c r="Z481" s="60"/>
      <c r="AA481" s="60"/>
      <c r="AB481" s="60"/>
      <c r="AC481" s="60"/>
      <c r="AD481" s="73"/>
      <c r="AE481" s="73"/>
      <c r="AF481" s="76"/>
      <c r="AG481" s="60" t="str">
        <f>IFERROR(__xludf.DUMMYFUNCTION("""COMPUTED_VALUE"""),"")</f>
        <v/>
      </c>
    </row>
    <row r="482">
      <c r="A482" s="88" t="str">
        <f>IFERROR(__xludf.DUMMYFUNCTION("""COMPUTED_VALUE"""),"MACC")</f>
        <v>MACC</v>
      </c>
      <c r="B482" s="55" t="str">
        <f>IFERROR(__xludf.DUMMYFUNCTION("""COMPUTED_VALUE"""),"Mission Advancement Corp.")</f>
        <v>Mission Advancement Corp.</v>
      </c>
      <c r="C482" s="56" t="str">
        <f>IFERROR(__xludf.DUMMYFUNCTION("""COMPUTED_VALUE"""),"Searching (Pre Unit Split)")</f>
        <v>Searching (Pre Unit Split)</v>
      </c>
      <c r="D482" s="57" t="str">
        <f>IFERROR(__xludf.DUMMYFUNCTION("""COMPUTED_VALUE"""),"The intersection of Consumer and Impact")</f>
        <v>The intersection of Consumer and Impact</v>
      </c>
      <c r="E482" s="58"/>
      <c r="F482" s="59" t="str">
        <f>IFERROR(__xludf.DUMMYFUNCTION("""COMPUTED_VALUE"""),"Jahm Najafi (CEO, The Najafi Companies), Colin Kaepernick (Fmr NFL QB; Director, Medium; Founder, Kaepernick Publishing), Katia Beauchamp (Co-founder/CEO. Birchbox)")</f>
        <v>Jahm Najafi (CEO, The Najafi Companies), Colin Kaepernick (Fmr NFL QB; Director, Medium; Founder, Kaepernick Publishing), Katia Beauchamp (Co-founder/CEO. Birchbox)</v>
      </c>
      <c r="G482" s="60">
        <f>IFERROR(__xludf.DUMMYFUNCTION("""COMPUTED_VALUE"""),3.45E8)</f>
        <v>345000000</v>
      </c>
      <c r="H482" s="60" t="str">
        <f>IFERROR(__xludf.DUMMYFUNCTION("""COMPUTED_VALUE""")," ")</f>
        <v> </v>
      </c>
      <c r="I482" s="66" t="str">
        <f>IFERROR(__xludf.DUMMYFUNCTION("""COMPUTED_VALUE""")," ")</f>
        <v> </v>
      </c>
      <c r="J482" s="62" t="str">
        <f>IFERROR(__xludf.DUMMYFUNCTION("""COMPUTED_VALUE""")," ")</f>
        <v> </v>
      </c>
      <c r="K482" s="59">
        <f>IFERROR(__xludf.DUMMYFUNCTION("""COMPUTED_VALUE"""),10.1)</f>
        <v>10.1</v>
      </c>
      <c r="L482" s="87" t="str">
        <f>IFERROR(__xludf.DUMMYFUNCTION("""COMPUTED_VALUE""")," ")</f>
        <v> </v>
      </c>
      <c r="M482" s="64" t="str">
        <f>IFERROR(__xludf.DUMMYFUNCTION("""COMPUTED_VALUE"""),"U: [1/3 W]; W: [1:1, $11.5]")</f>
        <v>U: [1/3 W]; W: [1:1, $11.5]</v>
      </c>
      <c r="N482" s="65">
        <f>IFERROR(__xludf.DUMMYFUNCTION("""COMPUTED_VALUE"""),44309.0)</f>
        <v>44309</v>
      </c>
      <c r="O482" s="66" t="str">
        <f>IFERROR(__xludf.DUMMYFUNCTION("""COMPUTED_VALUE"""),"")</f>
        <v/>
      </c>
      <c r="P482" s="67">
        <f>IFERROR(__xludf.DUMMYFUNCTION("""COMPUTED_VALUE"""),44257.0)</f>
        <v>44257</v>
      </c>
      <c r="Q482" s="68">
        <f>IFERROR(__xludf.DUMMYFUNCTION("""COMPUTED_VALUE"""),345.0)</f>
        <v>345</v>
      </c>
      <c r="R482" s="69" t="str">
        <f>IFERROR(__xludf.DUMMYFUNCTION("""COMPUTED_VALUE"""),"Cantor, Moelis &amp; Company")</f>
        <v>Cantor, Moelis &amp; Company</v>
      </c>
      <c r="S482" s="64">
        <f>IFERROR(__xludf.DUMMYFUNCTION("""COMPUTED_VALUE"""),44987.0)</f>
        <v>44987</v>
      </c>
      <c r="T482" s="70">
        <f>IFERROR(__xludf.DUMMYFUNCTION("""COMPUTED_VALUE"""),0.05342465753424658)</f>
        <v>0.05342465753</v>
      </c>
      <c r="U482" s="71" t="str">
        <f>IFERROR(__xludf.DUMMYFUNCTION("""COMPUTED_VALUE"""),"https://www.sec.gov/cgi-bin/browse-edgar?CIK=1840148")</f>
        <v>https://www.sec.gov/cgi-bin/browse-edgar?CIK=1840148</v>
      </c>
      <c r="V482" s="72" t="str">
        <f>IFERROR(__xludf.DUMMYFUNCTION("""COMPUTED_VALUE"""),"         Well-known Sponsor   ")</f>
        <v>         Well-known Sponsor   </v>
      </c>
      <c r="W482" s="73"/>
      <c r="X482" s="74"/>
      <c r="Y482" s="75"/>
      <c r="Z482" s="60"/>
      <c r="AA482" s="60"/>
      <c r="AB482" s="60"/>
      <c r="AC482" s="60"/>
      <c r="AD482" s="73"/>
      <c r="AE482" s="73"/>
      <c r="AF482" s="76"/>
      <c r="AG482" s="60"/>
    </row>
    <row r="483">
      <c r="A483" s="54" t="str">
        <f>IFERROR(__xludf.DUMMYFUNCTION("""COMPUTED_VALUE"""),"MACQ")</f>
        <v>MACQ</v>
      </c>
      <c r="B483" s="55" t="str">
        <f>IFERROR(__xludf.DUMMYFUNCTION("""COMPUTED_VALUE"""),"MCAP Acquisition Corp")</f>
        <v>MCAP Acquisition Corp</v>
      </c>
      <c r="C483" s="56" t="str">
        <f>IFERROR(__xludf.DUMMYFUNCTION("""COMPUTED_VALUE"""),"Searching (Pre Unit Split)")</f>
        <v>Searching (Pre Unit Split)</v>
      </c>
      <c r="D483" s="77" t="str">
        <f>IFERROR(__xludf.DUMMYFUNCTION("""COMPUTED_VALUE"""),"Tech, Software")</f>
        <v>Tech, Software</v>
      </c>
      <c r="E483" s="58"/>
      <c r="F483" s="59" t="str">
        <f>IFERROR(__xludf.DUMMYFUNCTION("""COMPUTED_VALUE"""),"Monroe Capital")</f>
        <v>Monroe Capital</v>
      </c>
      <c r="G483" s="60">
        <f>IFERROR(__xludf.DUMMYFUNCTION("""COMPUTED_VALUE"""),3.1625E8)</f>
        <v>316250000</v>
      </c>
      <c r="H483" s="60" t="str">
        <f>IFERROR(__xludf.DUMMYFUNCTION("""COMPUTED_VALUE""")," ")</f>
        <v> </v>
      </c>
      <c r="I483" s="66" t="str">
        <f>IFERROR(__xludf.DUMMYFUNCTION("""COMPUTED_VALUE""")," ")</f>
        <v> </v>
      </c>
      <c r="J483" s="62" t="str">
        <f>IFERROR(__xludf.DUMMYFUNCTION("""COMPUTED_VALUE""")," ")</f>
        <v> </v>
      </c>
      <c r="K483" s="59">
        <f>IFERROR(__xludf.DUMMYFUNCTION("""COMPUTED_VALUE"""),9.97)</f>
        <v>9.97</v>
      </c>
      <c r="L483" s="87" t="str">
        <f>IFERROR(__xludf.DUMMYFUNCTION("""COMPUTED_VALUE""")," ")</f>
        <v> </v>
      </c>
      <c r="M483" s="64" t="str">
        <f>IFERROR(__xludf.DUMMYFUNCTION("""COMPUTED_VALUE"""),"U: [1/3 W]; W: [1:1, $11.5]")</f>
        <v>U: [1/3 W]; W: [1:1, $11.5]</v>
      </c>
      <c r="N483" s="65">
        <f>IFERROR(__xludf.DUMMYFUNCTION("""COMPUTED_VALUE"""),44304.0)</f>
        <v>44304</v>
      </c>
      <c r="O483" s="66" t="str">
        <f>IFERROR(__xludf.DUMMYFUNCTION("""COMPUTED_VALUE"""),"")</f>
        <v/>
      </c>
      <c r="P483" s="67">
        <f>IFERROR(__xludf.DUMMYFUNCTION("""COMPUTED_VALUE"""),44252.0)</f>
        <v>44252</v>
      </c>
      <c r="Q483" s="68">
        <f>IFERROR(__xludf.DUMMYFUNCTION("""COMPUTED_VALUE"""),316.25)</f>
        <v>316.25</v>
      </c>
      <c r="R483" s="85" t="str">
        <f>IFERROR(__xludf.DUMMYFUNCTION("""COMPUTED_VALUE"""),"Cowen")</f>
        <v>Cowen</v>
      </c>
      <c r="S483" s="64">
        <f>IFERROR(__xludf.DUMMYFUNCTION("""COMPUTED_VALUE"""),44982.0)</f>
        <v>44982</v>
      </c>
      <c r="T483" s="70">
        <f>IFERROR(__xludf.DUMMYFUNCTION("""COMPUTED_VALUE"""),0.06027397260273973)</f>
        <v>0.0602739726</v>
      </c>
      <c r="U483" s="71" t="str">
        <f>IFERROR(__xludf.DUMMYFUNCTION("""COMPUTED_VALUE"""),"https://www.sec.gov/cgi-bin/browse-edgar?CIK=1838672")</f>
        <v>https://www.sec.gov/cgi-bin/browse-edgar?CIK=1838672</v>
      </c>
      <c r="V483" s="72" t="str">
        <f>IFERROR(__xludf.DUMMYFUNCTION("""COMPUTED_VALUE"""),"            ")</f>
        <v>            </v>
      </c>
      <c r="W483" s="73"/>
      <c r="X483" s="74"/>
      <c r="Y483" s="75"/>
      <c r="Z483" s="60"/>
      <c r="AA483" s="60"/>
      <c r="AB483" s="60"/>
      <c r="AC483" s="60"/>
      <c r="AD483" s="73"/>
      <c r="AE483" s="73"/>
      <c r="AF483" s="76"/>
      <c r="AG483" s="60" t="str">
        <f>IFERROR(__xludf.DUMMYFUNCTION("""COMPUTED_VALUE"""),"")</f>
        <v/>
      </c>
    </row>
    <row r="484">
      <c r="A484" s="88" t="str">
        <f>IFERROR(__xludf.DUMMYFUNCTION("""COMPUTED_VALUE"""),"MACS")</f>
        <v>MACS</v>
      </c>
      <c r="B484" s="55" t="str">
        <f>IFERROR(__xludf.DUMMYFUNCTION("""COMPUTED_VALUE"""),"Modiv Acquisition Corp.")</f>
        <v>Modiv Acquisition Corp.</v>
      </c>
      <c r="C484" s="56" t="str">
        <f>IFERROR(__xludf.DUMMYFUNCTION("""COMPUTED_VALUE"""),"Pre IPO")</f>
        <v>Pre IPO</v>
      </c>
      <c r="D484" s="57" t="str">
        <f>IFERROR(__xludf.DUMMYFUNCTION("""COMPUTED_VALUE"""),"Fintech, Proptech")</f>
        <v>Fintech, Proptech</v>
      </c>
      <c r="E484" s="58"/>
      <c r="F484" s="59" t="str">
        <f>IFERROR(__xludf.DUMMYFUNCTION("""COMPUTED_VALUE"""),"Ray Wirta (Former Chairman/CEO, CBRE; Director, CBRE)")</f>
        <v>Ray Wirta (Former Chairman/CEO, CBRE; Director, CBRE)</v>
      </c>
      <c r="G484" s="60">
        <f>IFERROR(__xludf.DUMMYFUNCTION("""COMPUTED_VALUE"""),1.0E8)</f>
        <v>100000000</v>
      </c>
      <c r="H484" s="60" t="str">
        <f>IFERROR(__xludf.DUMMYFUNCTION("""COMPUTED_VALUE""")," ")</f>
        <v> </v>
      </c>
      <c r="I484" s="66" t="str">
        <f>IFERROR(__xludf.DUMMYFUNCTION("""COMPUTED_VALUE""")," ")</f>
        <v> </v>
      </c>
      <c r="J484" s="62" t="str">
        <f>IFERROR(__xludf.DUMMYFUNCTION("""COMPUTED_VALUE""")," ")</f>
        <v> </v>
      </c>
      <c r="K484" s="59" t="str">
        <f>IFERROR(__xludf.DUMMYFUNCTION("""COMPUTED_VALUE""")," ")</f>
        <v> </v>
      </c>
      <c r="L484" s="87" t="str">
        <f>IFERROR(__xludf.DUMMYFUNCTION("""COMPUTED_VALUE""")," ")</f>
        <v> </v>
      </c>
      <c r="M484" s="64" t="str">
        <f>IFERROR(__xludf.DUMMYFUNCTION("""COMPUTED_VALUE"""),"U: [1 W]; W: [2:1, $11.5]")</f>
        <v>U: [1 W]; W: [2:1, $11.5]</v>
      </c>
      <c r="N484" s="65" t="str">
        <f>IFERROR(__xludf.DUMMYFUNCTION("""COMPUTED_VALUE"""),"")</f>
        <v/>
      </c>
      <c r="O484" s="66">
        <f>IFERROR(__xludf.DUMMYFUNCTION("""COMPUTED_VALUE"""),0.0)</f>
        <v>0</v>
      </c>
      <c r="P484" s="67"/>
      <c r="Q484" s="68">
        <f>IFERROR(__xludf.DUMMYFUNCTION("""COMPUTED_VALUE"""),100.0)</f>
        <v>100</v>
      </c>
      <c r="R484" s="69" t="str">
        <f>IFERROR(__xludf.DUMMYFUNCTION("""COMPUTED_VALUE"""),"Chardan")</f>
        <v>Chardan</v>
      </c>
      <c r="S484" s="64">
        <f>IFERROR(__xludf.DUMMYFUNCTION("""COMPUTED_VALUE"""),45086.0)</f>
        <v>45086</v>
      </c>
      <c r="T484" s="70" t="str">
        <f>IFERROR(__xludf.DUMMYFUNCTION("""COMPUTED_VALUE"""),"")</f>
        <v/>
      </c>
      <c r="U484" s="71" t="str">
        <f>IFERROR(__xludf.DUMMYFUNCTION("""COMPUTED_VALUE"""),"https://www.sec.gov/cgi-bin/browse-edgar?CIK=1846622")</f>
        <v>https://www.sec.gov/cgi-bin/browse-edgar?CIK=1846622</v>
      </c>
      <c r="V484" s="72" t="str">
        <f>IFERROR(__xludf.DUMMYFUNCTION("""COMPUTED_VALUE"""),"            ")</f>
        <v>            </v>
      </c>
      <c r="W484" s="73"/>
      <c r="X484" s="74"/>
      <c r="Y484" s="75"/>
      <c r="Z484" s="60"/>
      <c r="AA484" s="60"/>
      <c r="AB484" s="60"/>
      <c r="AC484" s="60"/>
      <c r="AD484" s="73"/>
      <c r="AE484" s="73"/>
      <c r="AF484" s="76"/>
      <c r="AG484" s="60"/>
    </row>
    <row r="485">
      <c r="A485" s="54" t="str">
        <f>IFERROR(__xludf.DUMMYFUNCTION("""COMPUTED_VALUE"""),"MACU")</f>
        <v>MACU</v>
      </c>
      <c r="B485" s="55" t="str">
        <f>IFERROR(__xludf.DUMMYFUNCTION("""COMPUTED_VALUE"""),"Mallard Acquisition Corp.")</f>
        <v>Mallard Acquisition Corp.</v>
      </c>
      <c r="C485" s="56" t="str">
        <f>IFERROR(__xludf.DUMMYFUNCTION("""COMPUTED_VALUE"""),"Searching")</f>
        <v>Searching</v>
      </c>
      <c r="D485" s="57" t="str">
        <f>IFERROR(__xludf.DUMMYFUNCTION("""COMPUTED_VALUE"""),"Distribution, industrial services, &amp; manufacturing")</f>
        <v>Distribution, industrial services, &amp; manufacturing</v>
      </c>
      <c r="E485" s="58"/>
      <c r="F485" s="59"/>
      <c r="G485" s="60">
        <f>IFERROR(__xludf.DUMMYFUNCTION("""COMPUTED_VALUE"""),1.111E8)</f>
        <v>111100000</v>
      </c>
      <c r="H485" s="60">
        <f>IFERROR(__xludf.DUMMYFUNCTION("""COMPUTED_VALUE"""),1.43194205E8)</f>
        <v>143194205</v>
      </c>
      <c r="I485" s="66">
        <f>IFERROR(__xludf.DUMMYFUNCTION("""COMPUTED_VALUE"""),10.1108)</f>
        <v>10.1108</v>
      </c>
      <c r="J485" s="62">
        <f>IFERROR(__xludf.DUMMYFUNCTION("""COMPUTED_VALUE"""),0.01923)</f>
        <v>0.01923</v>
      </c>
      <c r="K485" s="59">
        <f>IFERROR(__xludf.DUMMYFUNCTION("""COMPUTED_VALUE"""),10.1312)</f>
        <v>10.1312</v>
      </c>
      <c r="L485" s="87">
        <f>IFERROR(__xludf.DUMMYFUNCTION("""COMPUTED_VALUE"""),0.51)</f>
        <v>0.51</v>
      </c>
      <c r="M485" s="64" t="str">
        <f>IFERROR(__xludf.DUMMYFUNCTION("""COMPUTED_VALUE"""),"U: [1 W]; W: [2:1, $11.5]")</f>
        <v>U: [1 W]; W: [2:1, $11.5]</v>
      </c>
      <c r="N485" s="65" t="str">
        <f>IFERROR(__xludf.DUMMYFUNCTION("""COMPUTED_VALUE"""),"")</f>
        <v/>
      </c>
      <c r="O485" s="66">
        <f>IFERROR(__xludf.DUMMYFUNCTION("""COMPUTED_VALUE"""),0.0)</f>
        <v>0</v>
      </c>
      <c r="P485" s="67">
        <f>IFERROR(__xludf.DUMMYFUNCTION("""COMPUTED_VALUE"""),44131.0)</f>
        <v>44131</v>
      </c>
      <c r="Q485" s="68">
        <f>IFERROR(__xludf.DUMMYFUNCTION("""COMPUTED_VALUE"""),111.1)</f>
        <v>111.1</v>
      </c>
      <c r="R485" s="85" t="str">
        <f>IFERROR(__xludf.DUMMYFUNCTION("""COMPUTED_VALUE"""),"Chardan")</f>
        <v>Chardan</v>
      </c>
      <c r="S485" s="64">
        <f>IFERROR(__xludf.DUMMYFUNCTION("""COMPUTED_VALUE"""),44678.5)</f>
        <v>44678.5</v>
      </c>
      <c r="T485" s="70">
        <f>IFERROR(__xludf.DUMMYFUNCTION("""COMPUTED_VALUE"""),0.3013698630136986)</f>
        <v>0.301369863</v>
      </c>
      <c r="U485" s="71" t="str">
        <f>IFERROR(__xludf.DUMMYFUNCTION("""COMPUTED_VALUE"""),"https://www.sec.gov/cgi-bin/browse-edgar?CIK=1805795")</f>
        <v>https://www.sec.gov/cgi-bin/browse-edgar?CIK=1805795</v>
      </c>
      <c r="V485" s="72" t="str">
        <f>IFERROR(__xludf.DUMMYFUNCTION("""COMPUTED_VALUE"""),"            ")</f>
        <v>            </v>
      </c>
      <c r="W485" s="73"/>
      <c r="X485" s="74"/>
      <c r="Y485" s="75"/>
      <c r="Z485" s="60"/>
      <c r="AA485" s="60"/>
      <c r="AB485" s="60"/>
      <c r="AC485" s="60"/>
      <c r="AD485" s="73"/>
      <c r="AE485" s="73"/>
      <c r="AF485" s="76"/>
      <c r="AG485" s="60" t="str">
        <f>IFERROR(__xludf.DUMMYFUNCTION("""COMPUTED_VALUE"""),"")</f>
        <v/>
      </c>
    </row>
    <row r="486">
      <c r="A486" s="88" t="str">
        <f>IFERROR(__xludf.DUMMYFUNCTION("""COMPUTED_VALUE"""),"MAQC")</f>
        <v>MAQC</v>
      </c>
      <c r="B486" s="55" t="str">
        <f>IFERROR(__xludf.DUMMYFUNCTION("""COMPUTED_VALUE"""),"Maquia Capital Acquisition Corporation")</f>
        <v>Maquia Capital Acquisition Corporation</v>
      </c>
      <c r="C486" s="56" t="str">
        <f>IFERROR(__xludf.DUMMYFUNCTION("""COMPUTED_VALUE"""),"Pre IPO")</f>
        <v>Pre IPO</v>
      </c>
      <c r="D486" s="77" t="str">
        <f>IFERROR(__xludf.DUMMYFUNCTION("""COMPUTED_VALUE"""),"Tech")</f>
        <v>Tech</v>
      </c>
      <c r="E486" s="58"/>
      <c r="F486" s="59"/>
      <c r="G486" s="60">
        <f>IFERROR(__xludf.DUMMYFUNCTION("""COMPUTED_VALUE"""),2.0E8)</f>
        <v>200000000</v>
      </c>
      <c r="H486" s="60" t="str">
        <f>IFERROR(__xludf.DUMMYFUNCTION("""COMPUTED_VALUE""")," ")</f>
        <v> </v>
      </c>
      <c r="I486" s="66" t="str">
        <f>IFERROR(__xludf.DUMMYFUNCTION("""COMPUTED_VALUE""")," ")</f>
        <v> </v>
      </c>
      <c r="J486" s="62" t="str">
        <f>IFERROR(__xludf.DUMMYFUNCTION("""COMPUTED_VALUE""")," ")</f>
        <v> </v>
      </c>
      <c r="K486" s="59" t="str">
        <f>IFERROR(__xludf.DUMMYFUNCTION("""COMPUTED_VALUE""")," ")</f>
        <v> </v>
      </c>
      <c r="L486" s="87" t="str">
        <f>IFERROR(__xludf.DUMMYFUNCTION("""COMPUTED_VALUE""")," ")</f>
        <v> </v>
      </c>
      <c r="M486" s="64" t="str">
        <f>IFERROR(__xludf.DUMMYFUNCTION("""COMPUTED_VALUE"""),"U: [1/2 W]; W: [1:1, $11.5]")</f>
        <v>U: [1/2 W]; W: [1:1, $11.5]</v>
      </c>
      <c r="N486" s="65" t="str">
        <f>IFERROR(__xludf.DUMMYFUNCTION("""COMPUTED_VALUE"""),"")</f>
        <v/>
      </c>
      <c r="O486" s="66" t="str">
        <f>IFERROR(__xludf.DUMMYFUNCTION("""COMPUTED_VALUE"""),"")</f>
        <v/>
      </c>
      <c r="P486" s="67"/>
      <c r="Q486" s="68">
        <f>IFERROR(__xludf.DUMMYFUNCTION("""COMPUTED_VALUE"""),200.0)</f>
        <v>200</v>
      </c>
      <c r="R486" s="69" t="str">
        <f>IFERROR(__xludf.DUMMYFUNCTION("""COMPUTED_VALUE"""),"Kingswood Capital Markets")</f>
        <v>Kingswood Capital Markets</v>
      </c>
      <c r="S486" s="64">
        <f>IFERROR(__xludf.DUMMYFUNCTION("""COMPUTED_VALUE"""),45086.0)</f>
        <v>45086</v>
      </c>
      <c r="T486" s="70" t="str">
        <f>IFERROR(__xludf.DUMMYFUNCTION("""COMPUTED_VALUE"""),"")</f>
        <v/>
      </c>
      <c r="U486" s="71" t="str">
        <f>IFERROR(__xludf.DUMMYFUNCTION("""COMPUTED_VALUE"""),"https://www.sec.gov/cgi-bin/browse-edgar?CIK=1844419")</f>
        <v>https://www.sec.gov/cgi-bin/browse-edgar?CIK=1844419</v>
      </c>
      <c r="V486" s="72" t="str">
        <f>IFERROR(__xludf.DUMMYFUNCTION("""COMPUTED_VALUE"""),"            ")</f>
        <v>            </v>
      </c>
      <c r="W486" s="73"/>
      <c r="X486" s="74"/>
      <c r="Y486" s="75"/>
      <c r="Z486" s="60"/>
      <c r="AA486" s="60"/>
      <c r="AB486" s="60"/>
      <c r="AC486" s="60"/>
      <c r="AD486" s="73"/>
      <c r="AE486" s="73"/>
      <c r="AF486" s="76"/>
      <c r="AG486" s="60"/>
    </row>
    <row r="487">
      <c r="A487" s="88" t="str">
        <f>IFERROR(__xludf.DUMMYFUNCTION("""COMPUTED_VALUE"""),"MBAC")</f>
        <v>MBAC</v>
      </c>
      <c r="B487" s="55" t="str">
        <f>IFERROR(__xludf.DUMMYFUNCTION("""COMPUTED_VALUE"""),"M3-Brigade Acquisition II Corp.")</f>
        <v>M3-Brigade Acquisition II Corp.</v>
      </c>
      <c r="C487" s="56" t="str">
        <f>IFERROR(__xludf.DUMMYFUNCTION("""COMPUTED_VALUE"""),"Searching (Pre Unit Split)")</f>
        <v>Searching (Pre Unit Split)</v>
      </c>
      <c r="D487" s="57" t="str">
        <f>IFERROR(__xludf.DUMMYFUNCTION("""COMPUTED_VALUE"""),"Impacted by COVID-19, Renewable Energy")</f>
        <v>Impacted by COVID-19, Renewable Energy</v>
      </c>
      <c r="E487" s="58"/>
      <c r="F487" s="59"/>
      <c r="G487" s="60">
        <f>IFERROR(__xludf.DUMMYFUNCTION("""COMPUTED_VALUE"""),4.0E8)</f>
        <v>400000000</v>
      </c>
      <c r="H487" s="60" t="str">
        <f>IFERROR(__xludf.DUMMYFUNCTION("""COMPUTED_VALUE""")," ")</f>
        <v> </v>
      </c>
      <c r="I487" s="66" t="str">
        <f>IFERROR(__xludf.DUMMYFUNCTION("""COMPUTED_VALUE""")," ")</f>
        <v> </v>
      </c>
      <c r="J487" s="62" t="str">
        <f>IFERROR(__xludf.DUMMYFUNCTION("""COMPUTED_VALUE""")," ")</f>
        <v> </v>
      </c>
      <c r="K487" s="59">
        <f>IFERROR(__xludf.DUMMYFUNCTION("""COMPUTED_VALUE"""),9.97)</f>
        <v>9.97</v>
      </c>
      <c r="L487" s="87" t="str">
        <f>IFERROR(__xludf.DUMMYFUNCTION("""COMPUTED_VALUE""")," ")</f>
        <v> </v>
      </c>
      <c r="M487" s="64" t="str">
        <f>IFERROR(__xludf.DUMMYFUNCTION("""COMPUTED_VALUE"""),"U: [1/3 W]; W: [1:1, $11.5]")</f>
        <v>U: [1/3 W]; W: [1:1, $11.5]</v>
      </c>
      <c r="N487" s="65">
        <f>IFERROR(__xludf.DUMMYFUNCTION("""COMPUTED_VALUE"""),44310.0)</f>
        <v>44310</v>
      </c>
      <c r="O487" s="66" t="str">
        <f>IFERROR(__xludf.DUMMYFUNCTION("""COMPUTED_VALUE"""),"")</f>
        <v/>
      </c>
      <c r="P487" s="67">
        <f>IFERROR(__xludf.DUMMYFUNCTION("""COMPUTED_VALUE"""),44258.0)</f>
        <v>44258</v>
      </c>
      <c r="Q487" s="68">
        <f>IFERROR(__xludf.DUMMYFUNCTION("""COMPUTED_VALUE"""),400.0)</f>
        <v>400</v>
      </c>
      <c r="R487" s="69" t="str">
        <f>IFERROR(__xludf.DUMMYFUNCTION("""COMPUTED_VALUE"""),"Cantor")</f>
        <v>Cantor</v>
      </c>
      <c r="S487" s="64">
        <f>IFERROR(__xludf.DUMMYFUNCTION("""COMPUTED_VALUE"""),44988.0)</f>
        <v>44988</v>
      </c>
      <c r="T487" s="70">
        <f>IFERROR(__xludf.DUMMYFUNCTION("""COMPUTED_VALUE"""),0.052054794520547946)</f>
        <v>0.05205479452</v>
      </c>
      <c r="U487" s="71" t="str">
        <f>IFERROR(__xludf.DUMMYFUNCTION("""COMPUTED_VALUE"""),"https://www.sec.gov/cgi-bin/browse-edgar?CIK=1839175")</f>
        <v>https://www.sec.gov/cgi-bin/browse-edgar?CIK=1839175</v>
      </c>
      <c r="V487" s="72" t="str">
        <f>IFERROR(__xludf.DUMMYFUNCTION("""COMPUTED_VALUE"""),"Sustainability            ")</f>
        <v>Sustainability            </v>
      </c>
      <c r="W487" s="73"/>
      <c r="X487" s="74"/>
      <c r="Y487" s="75"/>
      <c r="Z487" s="60"/>
      <c r="AA487" s="60"/>
      <c r="AB487" s="60"/>
      <c r="AC487" s="60"/>
      <c r="AD487" s="73"/>
      <c r="AE487" s="73"/>
      <c r="AF487" s="76"/>
      <c r="AG487" s="60"/>
    </row>
    <row r="488">
      <c r="A488" s="88" t="str">
        <f>IFERROR(__xludf.DUMMYFUNCTION("""COMPUTED_VALUE"""),"MBTC")</f>
        <v>MBTC</v>
      </c>
      <c r="B488" s="55" t="str">
        <f>IFERROR(__xludf.DUMMYFUNCTION("""COMPUTED_VALUE"""),"Nocturne Acquisition Corp")</f>
        <v>Nocturne Acquisition Corp</v>
      </c>
      <c r="C488" s="56" t="str">
        <f>IFERROR(__xludf.DUMMYFUNCTION("""COMPUTED_VALUE"""),"Searching (Pre Unit Split)")</f>
        <v>Searching (Pre Unit Split)</v>
      </c>
      <c r="D488" s="77" t="str">
        <f>IFERROR(__xludf.DUMMYFUNCTION("""COMPUTED_VALUE"""),"Tech, Blockchain, Artificial Intelligence")</f>
        <v>Tech, Blockchain, Artificial Intelligence</v>
      </c>
      <c r="E488" s="58"/>
      <c r="F488" s="59" t="str">
        <f>IFERROR(__xludf.DUMMYFUNCTION("""COMPUTED_VALUE"""),"Henry Monzon (Co-founder/Chairman/CEO, Katena Computing)")</f>
        <v>Henry Monzon (Co-founder/Chairman/CEO, Katena Computing)</v>
      </c>
      <c r="G488" s="60">
        <f>IFERROR(__xludf.DUMMYFUNCTION("""COMPUTED_VALUE"""),1.01E8)</f>
        <v>101000000</v>
      </c>
      <c r="H488" s="60" t="str">
        <f>IFERROR(__xludf.DUMMYFUNCTION("""COMPUTED_VALUE""")," ")</f>
        <v> </v>
      </c>
      <c r="I488" s="66" t="str">
        <f>IFERROR(__xludf.DUMMYFUNCTION("""COMPUTED_VALUE""")," ")</f>
        <v> </v>
      </c>
      <c r="J488" s="62" t="str">
        <f>IFERROR(__xludf.DUMMYFUNCTION("""COMPUTED_VALUE""")," ")</f>
        <v> </v>
      </c>
      <c r="K488" s="59">
        <f>IFERROR(__xludf.DUMMYFUNCTION("""COMPUTED_VALUE"""),10.136)</f>
        <v>10.136</v>
      </c>
      <c r="L488" s="87" t="str">
        <f>IFERROR(__xludf.DUMMYFUNCTION("""COMPUTED_VALUE""")," ")</f>
        <v> </v>
      </c>
      <c r="M488" s="64" t="str">
        <f>IFERROR(__xludf.DUMMYFUNCTION("""COMPUTED_VALUE"""),"U: [1/10 R]; W: [1:1, $11.5]")</f>
        <v>U: [1/10 R]; W: [1:1, $11.5]</v>
      </c>
      <c r="N488" s="65">
        <f>IFERROR(__xludf.DUMMYFUNCTION("""COMPUTED_VALUE"""),44376.0)</f>
        <v>44376</v>
      </c>
      <c r="O488" s="66" t="str">
        <f>IFERROR(__xludf.DUMMYFUNCTION("""COMPUTED_VALUE"""),"")</f>
        <v/>
      </c>
      <c r="P488" s="67">
        <f>IFERROR(__xludf.DUMMYFUNCTION("""COMPUTED_VALUE"""),44286.0)</f>
        <v>44286</v>
      </c>
      <c r="Q488" s="68">
        <f>IFERROR(__xludf.DUMMYFUNCTION("""COMPUTED_VALUE"""),101.0)</f>
        <v>101</v>
      </c>
      <c r="R488" s="69" t="str">
        <f>IFERROR(__xludf.DUMMYFUNCTION("""COMPUTED_VALUE"""),"Chardan")</f>
        <v>Chardan</v>
      </c>
      <c r="S488" s="64">
        <f>IFERROR(__xludf.DUMMYFUNCTION("""COMPUTED_VALUE"""),44651.0)</f>
        <v>44651</v>
      </c>
      <c r="T488" s="70">
        <f>IFERROR(__xludf.DUMMYFUNCTION("""COMPUTED_VALUE"""),0.0273972602739726)</f>
        <v>0.02739726027</v>
      </c>
      <c r="U488" s="71" t="str">
        <f>IFERROR(__xludf.DUMMYFUNCTION("""COMPUTED_VALUE"""),"https://www.sec.gov/cgi-bin/browse-edgar?CIK=1837344")</f>
        <v>https://www.sec.gov/cgi-bin/browse-edgar?CIK=1837344</v>
      </c>
      <c r="V488" s="72" t="str">
        <f>IFERROR(__xludf.DUMMYFUNCTION("""COMPUTED_VALUE"""),"       Has Rights     ")</f>
        <v>       Has Rights     </v>
      </c>
      <c r="W488" s="73"/>
      <c r="X488" s="74"/>
      <c r="Y488" s="75"/>
      <c r="Z488" s="60"/>
      <c r="AA488" s="60"/>
      <c r="AB488" s="60"/>
      <c r="AC488" s="60"/>
      <c r="AD488" s="73"/>
      <c r="AE488" s="73"/>
      <c r="AF488" s="76"/>
      <c r="AG488" s="60"/>
    </row>
    <row r="489">
      <c r="A489" s="54" t="str">
        <f>IFERROR(__xludf.DUMMYFUNCTION("""COMPUTED_VALUE"""),"MCAD")</f>
        <v>MCAD</v>
      </c>
      <c r="B489" s="55" t="str">
        <f>IFERROR(__xludf.DUMMYFUNCTION("""COMPUTED_VALUE"""),"Mountain Crest Acquisition Corp. II")</f>
        <v>Mountain Crest Acquisition Corp. II</v>
      </c>
      <c r="C489" s="56" t="str">
        <f>IFERROR(__xludf.DUMMYFUNCTION("""COMPUTED_VALUE"""),"Definitive Agreement")</f>
        <v>Definitive Agreement</v>
      </c>
      <c r="D489" s="57"/>
      <c r="E489" s="58" t="str">
        <f>IFERROR(__xludf.DUMMYFUNCTION("""COMPUTED_VALUE"""),"Better Therapeutics [DA: 04/07/21]")</f>
        <v>Better Therapeutics [DA: 04/07/21]</v>
      </c>
      <c r="F489" s="59" t="str">
        <f>IFERROR(__xludf.DUMMYFUNCTION("""COMPUTED_VALUE"""),"Dr. Suying Liu (Chairman/CEO, MCAC)")</f>
        <v>Dr. Suying Liu (Chairman/CEO, MCAC)</v>
      </c>
      <c r="G489" s="60">
        <f>IFERROR(__xludf.DUMMYFUNCTION("""COMPUTED_VALUE"""),5.75E7)</f>
        <v>57500000</v>
      </c>
      <c r="H489" s="60">
        <f>IFERROR(__xludf.DUMMYFUNCTION("""COMPUTED_VALUE"""),7.512155E7)</f>
        <v>75121550</v>
      </c>
      <c r="I489" s="66">
        <f>IFERROR(__xludf.DUMMYFUNCTION("""COMPUTED_VALUE"""),9.94)</f>
        <v>9.94</v>
      </c>
      <c r="J489" s="62">
        <f>IFERROR(__xludf.DUMMYFUNCTION("""COMPUTED_VALUE"""),0.00101)</f>
        <v>0.00101</v>
      </c>
      <c r="K489" s="59">
        <f>IFERROR(__xludf.DUMMYFUNCTION("""COMPUTED_VALUE"""),10.5668)</f>
        <v>10.5668</v>
      </c>
      <c r="L489" s="87" t="str">
        <f>IFERROR(__xludf.DUMMYFUNCTION("""COMPUTED_VALUE""")," ")</f>
        <v> </v>
      </c>
      <c r="M489" s="64" t="str">
        <f>IFERROR(__xludf.DUMMYFUNCTION("""COMPUTED_VALUE"""),"U: [1/10 R]; W: [No warrants]")</f>
        <v>U: [1/10 R]; W: [No warrants]</v>
      </c>
      <c r="N489" s="65">
        <f>IFERROR(__xludf.DUMMYFUNCTION("""COMPUTED_VALUE"""),44272.0)</f>
        <v>44272</v>
      </c>
      <c r="O489" s="66">
        <f>IFERROR(__xludf.DUMMYFUNCTION("""COMPUTED_VALUE"""),0.0)</f>
        <v>0</v>
      </c>
      <c r="P489" s="67">
        <f>IFERROR(__xludf.DUMMYFUNCTION("""COMPUTED_VALUE"""),44203.0)</f>
        <v>44203</v>
      </c>
      <c r="Q489" s="68">
        <f>IFERROR(__xludf.DUMMYFUNCTION("""COMPUTED_VALUE"""),57.5)</f>
        <v>57.5</v>
      </c>
      <c r="R489" s="85" t="str">
        <f>IFERROR(__xludf.DUMMYFUNCTION("""COMPUTED_VALUE"""),"Chardan")</f>
        <v>Chardan</v>
      </c>
      <c r="S489" s="64">
        <f>IFERROR(__xludf.DUMMYFUNCTION("""COMPUTED_VALUE"""),44476.75)</f>
        <v>44476.75</v>
      </c>
      <c r="T489" s="70">
        <f>IFERROR(__xludf.DUMMYFUNCTION("""COMPUTED_VALUE"""),0.33972602739726027)</f>
        <v>0.3397260274</v>
      </c>
      <c r="U489" s="71" t="str">
        <f>IFERROR(__xludf.DUMMYFUNCTION("""COMPUTED_VALUE"""),"https://www.sec.gov/cgi-bin/browse-edgar?CIK=1832415")</f>
        <v>https://www.sec.gov/cgi-bin/browse-edgar?CIK=1832415</v>
      </c>
      <c r="V489" s="72" t="str">
        <f>IFERROR(__xludf.DUMMYFUNCTION("""COMPUTED_VALUE"""),"Serial Sponsors Trading Below $10 (Common)      Has Rights     ")</f>
        <v>Serial Sponsors Trading Below $10 (Common)      Has Rights     </v>
      </c>
      <c r="W489" s="73">
        <f>IFERROR(__xludf.DUMMYFUNCTION("""COMPUTED_VALUE"""),44293.0)</f>
        <v>44293</v>
      </c>
      <c r="X489" s="79">
        <f>IFERROR(__xludf.DUMMYFUNCTION("""COMPUTED_VALUE"""),3.0)</f>
        <v>3</v>
      </c>
      <c r="Y489" s="80" t="str">
        <f>IFERROR(__xludf.DUMMYFUNCTION("""COMPUTED_VALUE"""),"https://www.businesswire.com/news/home/20210407005486/en/Better-Therapeutics-to-Become-Publicly-Traded-Prescription-Digital-Therapeutics-Company-via-Merger-with-Mountain-Crest-Acquisition-Corp.-II#.YG2g0m60a2M.twitter")</f>
        <v>https://www.businesswire.com/news/home/20210407005486/en/Better-Therapeutics-to-Become-Publicly-Traded-Prescription-Digital-Therapeutics-Company-via-Merger-with-Mountain-Crest-Acquisition-Corp.-II#.YG2g0m60a2M.twitter</v>
      </c>
      <c r="Z489" s="81" t="str">
        <f>IFERROR(__xludf.DUMMYFUNCTION("""COMPUTED_VALUE"""),"https://www.sec.gov/Archives/edgar/data/1832415/000121390021020544/ea139081ex99-2_mountain2.htm")</f>
        <v>https://www.sec.gov/Archives/edgar/data/1832415/000121390021020544/ea139081ex99-2_mountain2.htm</v>
      </c>
      <c r="AA489" s="60">
        <f>IFERROR(__xludf.DUMMYFUNCTION("""COMPUTED_VALUE"""),5.0E7)</f>
        <v>50000000</v>
      </c>
      <c r="AB489" s="60">
        <f>IFERROR(__xludf.DUMMYFUNCTION("""COMPUTED_VALUE"""),2.82E8)</f>
        <v>282000000</v>
      </c>
      <c r="AC489" s="60">
        <f>IFERROR(__xludf.DUMMYFUNCTION("""COMPUTED_VALUE"""),1.84E8)</f>
        <v>184000000</v>
      </c>
      <c r="AD489" s="73"/>
      <c r="AE489" s="73"/>
      <c r="AF489" s="76">
        <f>IFERROR(__xludf.DUMMYFUNCTION("""COMPUTED_VALUE"""),2.82E7)</f>
        <v>28200000</v>
      </c>
      <c r="AG489" s="60">
        <f>IFERROR(__xludf.DUMMYFUNCTION("""COMPUTED_VALUE"""),2.80308E8)</f>
        <v>280308000</v>
      </c>
    </row>
    <row r="490">
      <c r="A490" s="54" t="str">
        <f>IFERROR(__xludf.DUMMYFUNCTION("""COMPUTED_VALUE"""),"MCMJ")</f>
        <v>MCMJ</v>
      </c>
      <c r="B490" s="55" t="str">
        <f>IFERROR(__xludf.DUMMYFUNCTION("""COMPUTED_VALUE"""),"Merida Merger Corp. I")</f>
        <v>Merida Merger Corp. I</v>
      </c>
      <c r="C490" s="56" t="str">
        <f>IFERROR(__xludf.DUMMYFUNCTION("""COMPUTED_VALUE"""),"Searching")</f>
        <v>Searching</v>
      </c>
      <c r="D490" s="57" t="str">
        <f>IFERROR(__xludf.DUMMYFUNCTION("""COMPUTED_VALUE"""),"Cannabis")</f>
        <v>Cannabis</v>
      </c>
      <c r="E490" s="58"/>
      <c r="F490" s="59"/>
      <c r="G490" s="60">
        <f>IFERROR(__xludf.DUMMYFUNCTION("""COMPUTED_VALUE"""),1.30643612E8)</f>
        <v>130643612</v>
      </c>
      <c r="H490" s="60">
        <f>IFERROR(__xludf.DUMMYFUNCTION("""COMPUTED_VALUE"""),1.64374278E8)</f>
        <v>164374278</v>
      </c>
      <c r="I490" s="66">
        <f>IFERROR(__xludf.DUMMYFUNCTION("""COMPUTED_VALUE"""),10.04)</f>
        <v>10.04</v>
      </c>
      <c r="J490" s="62">
        <f>IFERROR(__xludf.DUMMYFUNCTION("""COMPUTED_VALUE"""),0.01006)</f>
        <v>0.01006</v>
      </c>
      <c r="K490" s="59" t="str">
        <f>IFERROR(__xludf.DUMMYFUNCTION("""COMPUTED_VALUE""")," ")</f>
        <v> </v>
      </c>
      <c r="L490" s="87">
        <f>IFERROR(__xludf.DUMMYFUNCTION("""COMPUTED_VALUE"""),1.1)</f>
        <v>1.1</v>
      </c>
      <c r="M490" s="64" t="str">
        <f>IFERROR(__xludf.DUMMYFUNCTION("""COMPUTED_VALUE"""),"U: [1/2 W]; W: [1:1, $11.5]")</f>
        <v>U: [1/2 W]; W: [1:1, $11.5]</v>
      </c>
      <c r="N490" s="65" t="str">
        <f>IFERROR(__xludf.DUMMYFUNCTION("""COMPUTED_VALUE"""),"")</f>
        <v/>
      </c>
      <c r="O490" s="66">
        <f>IFERROR(__xludf.DUMMYFUNCTION("""COMPUTED_VALUE"""),0.0)</f>
        <v>0</v>
      </c>
      <c r="P490" s="67">
        <f>IFERROR(__xludf.DUMMYFUNCTION("""COMPUTED_VALUE"""),43774.0)</f>
        <v>43774</v>
      </c>
      <c r="Q490" s="68">
        <f>IFERROR(__xludf.DUMMYFUNCTION("""COMPUTED_VALUE"""),130.01552)</f>
        <v>130.01552</v>
      </c>
      <c r="R490" s="69" t="str">
        <f>IFERROR(__xludf.DUMMYFUNCTION("""COMPUTED_VALUE"""),"EarlyBirdCapital")</f>
        <v>EarlyBirdCapital</v>
      </c>
      <c r="S490" s="64">
        <f>IFERROR(__xludf.DUMMYFUNCTION("""COMPUTED_VALUE"""),44504.0)</f>
        <v>44504</v>
      </c>
      <c r="T490" s="70">
        <f>IFERROR(__xludf.DUMMYFUNCTION("""COMPUTED_VALUE"""),0.7150684931506849)</f>
        <v>0.7150684932</v>
      </c>
      <c r="U490" s="71" t="str">
        <f>IFERROR(__xludf.DUMMYFUNCTION("""COMPUTED_VALUE"""),"https://www.sec.gov/cgi-bin/browse-edgar?CIK=1785592")</f>
        <v>https://www.sec.gov/cgi-bin/browse-edgar?CIK=1785592</v>
      </c>
      <c r="V490" s="72" t="str">
        <f>IFERROR(__xludf.DUMMYFUNCTION("""COMPUTED_VALUE"""),"     Optionable       ")</f>
        <v>     Optionable       </v>
      </c>
      <c r="W490" s="73"/>
      <c r="X490" s="74"/>
      <c r="Y490" s="75"/>
      <c r="Z490" s="60"/>
      <c r="AA490" s="60"/>
      <c r="AB490" s="60"/>
      <c r="AC490" s="60"/>
      <c r="AD490" s="73"/>
      <c r="AE490" s="73"/>
      <c r="AF490" s="76"/>
      <c r="AG490" s="60" t="str">
        <f>IFERROR(__xludf.DUMMYFUNCTION("""COMPUTED_VALUE"""),"")</f>
        <v/>
      </c>
    </row>
    <row r="491">
      <c r="A491" s="88" t="str">
        <f>IFERROR(__xludf.DUMMYFUNCTION("""COMPUTED_VALUE"""),"MCTY")</f>
        <v>MCTY</v>
      </c>
      <c r="B491" s="55" t="str">
        <f>IFERROR(__xludf.DUMMYFUNCTION("""COMPUTED_VALUE"""),"Motor City Acquisition Corp.")</f>
        <v>Motor City Acquisition Corp.</v>
      </c>
      <c r="C491" s="56" t="str">
        <f>IFERROR(__xludf.DUMMYFUNCTION("""COMPUTED_VALUE"""),"Pre IPO")</f>
        <v>Pre IPO</v>
      </c>
      <c r="D491" s="77" t="str">
        <f>IFERROR(__xludf.DUMMYFUNCTION("""COMPUTED_VALUE"""),"Automotive and Mobility")</f>
        <v>Automotive and Mobility</v>
      </c>
      <c r="E491" s="58"/>
      <c r="F491" s="59" t="str">
        <f>IFERROR(__xludf.DUMMYFUNCTION("""COMPUTED_VALUE"""),"Robert Wagman (Former CEO of LKQ Corporation), Jeremy Anspach (Founder &amp; CEO of PureCars), William Giles (Former CFO of Autozone)")</f>
        <v>Robert Wagman (Former CEO of LKQ Corporation), Jeremy Anspach (Founder &amp; CEO of PureCars), William Giles (Former CFO of Autozone)</v>
      </c>
      <c r="G491" s="60">
        <f>IFERROR(__xludf.DUMMYFUNCTION("""COMPUTED_VALUE"""),2.5E8)</f>
        <v>250000000</v>
      </c>
      <c r="H491" s="60" t="str">
        <f>IFERROR(__xludf.DUMMYFUNCTION("""COMPUTED_VALUE""")," ")</f>
        <v> </v>
      </c>
      <c r="I491" s="66" t="str">
        <f>IFERROR(__xludf.DUMMYFUNCTION("""COMPUTED_VALUE""")," ")</f>
        <v> </v>
      </c>
      <c r="J491" s="62" t="str">
        <f>IFERROR(__xludf.DUMMYFUNCTION("""COMPUTED_VALUE""")," ")</f>
        <v> </v>
      </c>
      <c r="K491" s="59" t="str">
        <f>IFERROR(__xludf.DUMMYFUNCTION("""COMPUTED_VALUE""")," ")</f>
        <v> </v>
      </c>
      <c r="L491" s="87" t="str">
        <f>IFERROR(__xludf.DUMMYFUNCTION("""COMPUTED_VALUE""")," ")</f>
        <v> </v>
      </c>
      <c r="M491" s="64" t="str">
        <f>IFERROR(__xludf.DUMMYFUNCTION("""COMPUTED_VALUE"""),"U: [1/4 W]; W: [1:1, $11.5]")</f>
        <v>U: [1/4 W]; W: [1:1, $11.5]</v>
      </c>
      <c r="N491" s="65" t="str">
        <f>IFERROR(__xludf.DUMMYFUNCTION("""COMPUTED_VALUE"""),"")</f>
        <v/>
      </c>
      <c r="O491" s="66">
        <f>IFERROR(__xludf.DUMMYFUNCTION("""COMPUTED_VALUE"""),0.0)</f>
        <v>0</v>
      </c>
      <c r="P491" s="67"/>
      <c r="Q491" s="68">
        <f>IFERROR(__xludf.DUMMYFUNCTION("""COMPUTED_VALUE"""),250.0)</f>
        <v>250</v>
      </c>
      <c r="R491" s="69" t="str">
        <f>IFERROR(__xludf.DUMMYFUNCTION("""COMPUTED_VALUE"""),"Deutsche Bank Securities, Morgan Stanley")</f>
        <v>Deutsche Bank Securities, Morgan Stanley</v>
      </c>
      <c r="S491" s="64">
        <f>IFERROR(__xludf.DUMMYFUNCTION("""COMPUTED_VALUE"""),45086.0)</f>
        <v>45086</v>
      </c>
      <c r="T491" s="70" t="str">
        <f>IFERROR(__xludf.DUMMYFUNCTION("""COMPUTED_VALUE"""),"")</f>
        <v/>
      </c>
      <c r="U491" s="71" t="str">
        <f>IFERROR(__xludf.DUMMYFUNCTION("""COMPUTED_VALUE"""),"https://www.sec.gov/cgi-bin/browse-edgar?CIK=1846752")</f>
        <v>https://www.sec.gov/cgi-bin/browse-edgar?CIK=1846752</v>
      </c>
      <c r="V491" s="72" t="str">
        <f>IFERROR(__xludf.DUMMYFUNCTION("""COMPUTED_VALUE"""),"           Top Tier UW ")</f>
        <v>           Top Tier UW </v>
      </c>
      <c r="W491" s="73"/>
      <c r="X491" s="74"/>
      <c r="Y491" s="75"/>
      <c r="Z491" s="60"/>
      <c r="AA491" s="60"/>
      <c r="AB491" s="60"/>
      <c r="AC491" s="60"/>
      <c r="AD491" s="73"/>
      <c r="AE491" s="73"/>
      <c r="AF491" s="76"/>
      <c r="AG491" s="60"/>
    </row>
    <row r="492">
      <c r="A492" s="54" t="str">
        <f>IFERROR(__xludf.DUMMYFUNCTION("""COMPUTED_VALUE"""),"MDH")</f>
        <v>MDH</v>
      </c>
      <c r="B492" s="55" t="str">
        <f>IFERROR(__xludf.DUMMYFUNCTION("""COMPUTED_VALUE"""),"MDH Acquisition Corp.")</f>
        <v>MDH Acquisition Corp.</v>
      </c>
      <c r="C492" s="56" t="str">
        <f>IFERROR(__xludf.DUMMYFUNCTION("""COMPUTED_VALUE"""),"Searching")</f>
        <v>Searching</v>
      </c>
      <c r="D492" s="57" t="str">
        <f>IFERROR(__xludf.DUMMYFUNCTION("""COMPUTED_VALUE"""),"Transportation, Logistics, Telecom, Financial Services, Professional Services (Heartland of America Geo)")</f>
        <v>Transportation, Logistics, Telecom, Financial Services, Professional Services (Heartland of America Geo)</v>
      </c>
      <c r="E492" s="58"/>
      <c r="F492" s="59"/>
      <c r="G492" s="60">
        <f>IFERROR(__xludf.DUMMYFUNCTION("""COMPUTED_VALUE"""),2.76E8)</f>
        <v>276000000</v>
      </c>
      <c r="H492" s="60"/>
      <c r="I492" s="66">
        <f>IFERROR(__xludf.DUMMYFUNCTION("""COMPUTED_VALUE"""),9.75)</f>
        <v>9.75</v>
      </c>
      <c r="J492" s="62">
        <f>IFERROR(__xludf.DUMMYFUNCTION("""COMPUTED_VALUE"""),0.00206)</f>
        <v>0.00206</v>
      </c>
      <c r="K492" s="59">
        <f>IFERROR(__xludf.DUMMYFUNCTION("""COMPUTED_VALUE"""),9.99)</f>
        <v>9.99</v>
      </c>
      <c r="L492" s="87">
        <f>IFERROR(__xludf.DUMMYFUNCTION("""COMPUTED_VALUE"""),0.5699)</f>
        <v>0.5699</v>
      </c>
      <c r="M492" s="64" t="str">
        <f>IFERROR(__xludf.DUMMYFUNCTION("""COMPUTED_VALUE"""),"U: [1/2 W]; W: [1:1, $11.5]")</f>
        <v>U: [1/2 W]; W: [1:1, $11.5]</v>
      </c>
      <c r="N492" s="65" t="str">
        <f>IFERROR(__xludf.DUMMYFUNCTION("""COMPUTED_VALUE"""),"")</f>
        <v/>
      </c>
      <c r="O492" s="66">
        <f>IFERROR(__xludf.DUMMYFUNCTION("""COMPUTED_VALUE"""),0.0)</f>
        <v>0</v>
      </c>
      <c r="P492" s="67">
        <f>IFERROR(__xludf.DUMMYFUNCTION("""COMPUTED_VALUE"""),44228.0)</f>
        <v>44228</v>
      </c>
      <c r="Q492" s="68">
        <f>IFERROR(__xludf.DUMMYFUNCTION("""COMPUTED_VALUE"""),276.0)</f>
        <v>276</v>
      </c>
      <c r="R492" s="85" t="str">
        <f>IFERROR(__xludf.DUMMYFUNCTION("""COMPUTED_VALUE"""),"Stifel, Oppenehimer")</f>
        <v>Stifel, Oppenehimer</v>
      </c>
      <c r="S492" s="64">
        <f>IFERROR(__xludf.DUMMYFUNCTION("""COMPUTED_VALUE"""),44958.0)</f>
        <v>44958</v>
      </c>
      <c r="T492" s="70">
        <f>IFERROR(__xludf.DUMMYFUNCTION("""COMPUTED_VALUE"""),0.09315068493150686)</f>
        <v>0.09315068493</v>
      </c>
      <c r="U492" s="71" t="str">
        <f>IFERROR(__xludf.DUMMYFUNCTION("""COMPUTED_VALUE"""),"https://www.sec.gov/cgi-bin/browse-edgar?CIK=1823143")</f>
        <v>https://www.sec.gov/cgi-bin/browse-edgar?CIK=1823143</v>
      </c>
      <c r="V492" s="72" t="str">
        <f>IFERROR(__xludf.DUMMYFUNCTION("""COMPUTED_VALUE""")," Trading Below $10 (Common)           ")</f>
        <v> Trading Below $10 (Common)           </v>
      </c>
      <c r="W492" s="73"/>
      <c r="X492" s="74"/>
      <c r="Y492" s="75"/>
      <c r="Z492" s="60"/>
      <c r="AA492" s="60"/>
      <c r="AB492" s="60"/>
      <c r="AC492" s="60"/>
      <c r="AD492" s="73"/>
      <c r="AE492" s="73"/>
      <c r="AF492" s="76"/>
      <c r="AG492" s="60" t="str">
        <f>IFERROR(__xludf.DUMMYFUNCTION("""COMPUTED_VALUE"""),"")</f>
        <v/>
      </c>
    </row>
    <row r="493">
      <c r="A493" s="88" t="str">
        <f>IFERROR(__xludf.DUMMYFUNCTION("""COMPUTED_VALUE"""),"MEAC")</f>
        <v>MEAC</v>
      </c>
      <c r="B493" s="55" t="str">
        <f>IFERROR(__xludf.DUMMYFUNCTION("""COMPUTED_VALUE"""),"Mercury Ecommerce Acquisition Corp")</f>
        <v>Mercury Ecommerce Acquisition Corp</v>
      </c>
      <c r="C493" s="56" t="str">
        <f>IFERROR(__xludf.DUMMYFUNCTION("""COMPUTED_VALUE"""),"Pre IPO")</f>
        <v>Pre IPO</v>
      </c>
      <c r="D493" s="77" t="str">
        <f>IFERROR(__xludf.DUMMYFUNCTION("""COMPUTED_VALUE"""),"Ecommerce, Enterprise SaaS")</f>
        <v>Ecommerce, Enterprise SaaS</v>
      </c>
      <c r="E493" s="58"/>
      <c r="F493" s="59"/>
      <c r="G493" s="60">
        <f>IFERROR(__xludf.DUMMYFUNCTION("""COMPUTED_VALUE"""),1.75E8)</f>
        <v>175000000</v>
      </c>
      <c r="H493" s="60" t="str">
        <f>IFERROR(__xludf.DUMMYFUNCTION("""COMPUTED_VALUE""")," ")</f>
        <v> </v>
      </c>
      <c r="I493" s="66" t="str">
        <f>IFERROR(__xludf.DUMMYFUNCTION("""COMPUTED_VALUE""")," ")</f>
        <v> </v>
      </c>
      <c r="J493" s="62" t="str">
        <f>IFERROR(__xludf.DUMMYFUNCTION("""COMPUTED_VALUE""")," ")</f>
        <v> </v>
      </c>
      <c r="K493" s="59" t="str">
        <f>IFERROR(__xludf.DUMMYFUNCTION("""COMPUTED_VALUE""")," ")</f>
        <v> </v>
      </c>
      <c r="L493" s="87" t="str">
        <f>IFERROR(__xludf.DUMMYFUNCTION("""COMPUTED_VALUE""")," ")</f>
        <v> </v>
      </c>
      <c r="M493" s="64" t="str">
        <f>IFERROR(__xludf.DUMMYFUNCTION("""COMPUTED_VALUE"""),"U: [1/2 W]; W: [1:1, $11.5]")</f>
        <v>U: [1/2 W]; W: [1:1, $11.5]</v>
      </c>
      <c r="N493" s="65" t="str">
        <f>IFERROR(__xludf.DUMMYFUNCTION("""COMPUTED_VALUE"""),"")</f>
        <v/>
      </c>
      <c r="O493" s="66">
        <f>IFERROR(__xludf.DUMMYFUNCTION("""COMPUTED_VALUE"""),0.0)</f>
        <v>0</v>
      </c>
      <c r="P493" s="67"/>
      <c r="Q493" s="68">
        <f>IFERROR(__xludf.DUMMYFUNCTION("""COMPUTED_VALUE"""),175.0)</f>
        <v>175</v>
      </c>
      <c r="R493" s="69" t="str">
        <f>IFERROR(__xludf.DUMMYFUNCTION("""COMPUTED_VALUE"""),"BTIG")</f>
        <v>BTIG</v>
      </c>
      <c r="S493" s="64">
        <f>IFERROR(__xludf.DUMMYFUNCTION("""COMPUTED_VALUE"""),45086.0)</f>
        <v>45086</v>
      </c>
      <c r="T493" s="70" t="str">
        <f>IFERROR(__xludf.DUMMYFUNCTION("""COMPUTED_VALUE"""),"")</f>
        <v/>
      </c>
      <c r="U493" s="71" t="str">
        <f>IFERROR(__xludf.DUMMYFUNCTION("""COMPUTED_VALUE"""),"https://www.sec.gov/cgi-bin/browse-edgar?CIK=1849902")</f>
        <v>https://www.sec.gov/cgi-bin/browse-edgar?CIK=1849902</v>
      </c>
      <c r="V493" s="72" t="str">
        <f>IFERROR(__xludf.DUMMYFUNCTION("""COMPUTED_VALUE"""),"            ")</f>
        <v>            </v>
      </c>
      <c r="W493" s="73"/>
      <c r="X493" s="74"/>
      <c r="Y493" s="75"/>
      <c r="Z493" s="60"/>
      <c r="AA493" s="60"/>
      <c r="AB493" s="60"/>
      <c r="AC493" s="60"/>
      <c r="AD493" s="73"/>
      <c r="AE493" s="73"/>
      <c r="AF493" s="76"/>
      <c r="AG493" s="60"/>
    </row>
    <row r="494">
      <c r="A494" s="54" t="str">
        <f>IFERROR(__xludf.DUMMYFUNCTION("""COMPUTED_VALUE"""),"MIT")</f>
        <v>MIT</v>
      </c>
      <c r="B494" s="55" t="str">
        <f>IFERROR(__xludf.DUMMYFUNCTION("""COMPUTED_VALUE"""),"Mason Industrial Technology, Inc.")</f>
        <v>Mason Industrial Technology, Inc.</v>
      </c>
      <c r="C494" s="56" t="str">
        <f>IFERROR(__xludf.DUMMYFUNCTION("""COMPUTED_VALUE"""),"Searching")</f>
        <v>Searching</v>
      </c>
      <c r="D494" s="57" t="str">
        <f>IFERROR(__xludf.DUMMYFUNCTION("""COMPUTED_VALUE"""),"Industrial Tech, Advanced Materials, Specialty Chemicals")</f>
        <v>Industrial Tech, Advanced Materials, Specialty Chemicals</v>
      </c>
      <c r="E494" s="58"/>
      <c r="F494" s="59" t="str">
        <f>IFERROR(__xludf.DUMMYFUNCTION("""COMPUTED_VALUE"""),"Marshall Sanford, Jr. (Fmr Governor of SC; Fmr US House Rep)")</f>
        <v>Marshall Sanford, Jr. (Fmr Governor of SC; Fmr US House Rep)</v>
      </c>
      <c r="G494" s="60">
        <f>IFERROR(__xludf.DUMMYFUNCTION("""COMPUTED_VALUE"""),5.0E8)</f>
        <v>500000000</v>
      </c>
      <c r="H494" s="60"/>
      <c r="I494" s="66">
        <f>IFERROR(__xludf.DUMMYFUNCTION("""COMPUTED_VALUE"""),9.75)</f>
        <v>9.75</v>
      </c>
      <c r="J494" s="62">
        <f>IFERROR(__xludf.DUMMYFUNCTION("""COMPUTED_VALUE"""),0.00619)</f>
        <v>0.00619</v>
      </c>
      <c r="K494" s="59">
        <f>IFERROR(__xludf.DUMMYFUNCTION("""COMPUTED_VALUE"""),9.98)</f>
        <v>9.98</v>
      </c>
      <c r="L494" s="87">
        <f>IFERROR(__xludf.DUMMYFUNCTION("""COMPUTED_VALUE"""),0.6899)</f>
        <v>0.6899</v>
      </c>
      <c r="M494" s="64" t="str">
        <f>IFERROR(__xludf.DUMMYFUNCTION("""COMPUTED_VALUE"""),"U: [1/3 W]; W: [1:1, $11.5]")</f>
        <v>U: [1/3 W]; W: [1:1, $11.5]</v>
      </c>
      <c r="N494" s="65" t="str">
        <f>IFERROR(__xludf.DUMMYFUNCTION("""COMPUTED_VALUE"""),"")</f>
        <v/>
      </c>
      <c r="O494" s="66">
        <f>IFERROR(__xludf.DUMMYFUNCTION("""COMPUTED_VALUE"""),0.0)</f>
        <v>0</v>
      </c>
      <c r="P494" s="67">
        <f>IFERROR(__xludf.DUMMYFUNCTION("""COMPUTED_VALUE"""),44224.0)</f>
        <v>44224</v>
      </c>
      <c r="Q494" s="68">
        <f>IFERROR(__xludf.DUMMYFUNCTION("""COMPUTED_VALUE"""),500.0)</f>
        <v>500</v>
      </c>
      <c r="R494" s="85" t="str">
        <f>IFERROR(__xludf.DUMMYFUNCTION("""COMPUTED_VALUE"""),"Citigroup, Jefferies")</f>
        <v>Citigroup, Jefferies</v>
      </c>
      <c r="S494" s="64">
        <f>IFERROR(__xludf.DUMMYFUNCTION("""COMPUTED_VALUE"""),44954.0)</f>
        <v>44954</v>
      </c>
      <c r="T494" s="70">
        <f>IFERROR(__xludf.DUMMYFUNCTION("""COMPUTED_VALUE"""),0.09863013698630137)</f>
        <v>0.09863013699</v>
      </c>
      <c r="U494" s="71" t="str">
        <f>IFERROR(__xludf.DUMMYFUNCTION("""COMPUTED_VALUE"""),"https://www.sec.gov/cgi-bin/browse-edgar?CIK=1826058")</f>
        <v>https://www.sec.gov/cgi-bin/browse-edgar?CIK=1826058</v>
      </c>
      <c r="V494" s="72" t="str">
        <f>IFERROR(__xludf.DUMMYFUNCTION("""COMPUTED_VALUE""")," Trading Below $10 (Common)  $500M+ Trust       Top Tier UW ")</f>
        <v> Trading Below $10 (Common)  $500M+ Trust       Top Tier UW </v>
      </c>
      <c r="W494" s="73"/>
      <c r="X494" s="74"/>
      <c r="Y494" s="75"/>
      <c r="Z494" s="60"/>
      <c r="AA494" s="60"/>
      <c r="AB494" s="60"/>
      <c r="AC494" s="60"/>
      <c r="AD494" s="73"/>
      <c r="AE494" s="73"/>
      <c r="AF494" s="76"/>
      <c r="AG494" s="60" t="str">
        <f>IFERROR(__xludf.DUMMYFUNCTION("""COMPUTED_VALUE"""),"")</f>
        <v/>
      </c>
    </row>
    <row r="495">
      <c r="A495" s="88" t="str">
        <f>IFERROR(__xludf.DUMMYFUNCTION("""COMPUTED_VALUE"""),"MITA")</f>
        <v>MITA</v>
      </c>
      <c r="B495" s="55" t="str">
        <f>IFERROR(__xludf.DUMMYFUNCTION("""COMPUTED_VALUE"""),"Coliseum Acquisition Corp.")</f>
        <v>Coliseum Acquisition Corp.</v>
      </c>
      <c r="C495" s="56" t="str">
        <f>IFERROR(__xludf.DUMMYFUNCTION("""COMPUTED_VALUE"""),"Pre IPO")</f>
        <v>Pre IPO</v>
      </c>
      <c r="D495" s="77" t="str">
        <f>IFERROR(__xludf.DUMMYFUNCTION("""COMPUTED_VALUE"""),"Consumer (sports, entertainment, digital media, Tech)")</f>
        <v>Consumer (sports, entertainment, digital media, Tech)</v>
      </c>
      <c r="E495" s="58"/>
      <c r="F495" s="59" t="str">
        <f>IFERROR(__xludf.DUMMYFUNCTION("""COMPUTED_VALUE"""),"Jason Stein (Co-founder &amp; General Partner at SC Holdings), Rich Paul (Founder &amp; CEO of Klutch Sports Group), Jim Lanzone (CEO of Tinder, Former CEO of CBS Interactive, and Former CEO of Ask.com), Andrew Heyer (Founder &amp; CEO of Mistral Equity Partners and "&amp;"Serial SPAC sponsor)")</f>
        <v>Jason Stein (Co-founder &amp; General Partner at SC Holdings), Rich Paul (Founder &amp; CEO of Klutch Sports Group), Jim Lanzone (CEO of Tinder, Former CEO of CBS Interactive, and Former CEO of Ask.com), Andrew Heyer (Founder &amp; CEO of Mistral Equity Partners and Serial SPAC sponsor)</v>
      </c>
      <c r="G495" s="60">
        <f>IFERROR(__xludf.DUMMYFUNCTION("""COMPUTED_VALUE"""),1.5E8)</f>
        <v>150000000</v>
      </c>
      <c r="H495" s="60" t="str">
        <f>IFERROR(__xludf.DUMMYFUNCTION("""COMPUTED_VALUE""")," ")</f>
        <v> </v>
      </c>
      <c r="I495" s="66" t="str">
        <f>IFERROR(__xludf.DUMMYFUNCTION("""COMPUTED_VALUE""")," ")</f>
        <v> </v>
      </c>
      <c r="J495" s="62" t="str">
        <f>IFERROR(__xludf.DUMMYFUNCTION("""COMPUTED_VALUE""")," ")</f>
        <v> </v>
      </c>
      <c r="K495" s="59" t="str">
        <f>IFERROR(__xludf.DUMMYFUNCTION("""COMPUTED_VALUE""")," ")</f>
        <v> </v>
      </c>
      <c r="L495" s="87" t="str">
        <f>IFERROR(__xludf.DUMMYFUNCTION("""COMPUTED_VALUE""")," ")</f>
        <v> </v>
      </c>
      <c r="M495" s="64" t="str">
        <f>IFERROR(__xludf.DUMMYFUNCTION("""COMPUTED_VALUE"""),"U: [1/3 W]; W: [1:1, $11.5]")</f>
        <v>U: [1/3 W]; W: [1:1, $11.5]</v>
      </c>
      <c r="N495" s="65" t="str">
        <f>IFERROR(__xludf.DUMMYFUNCTION("""COMPUTED_VALUE"""),"")</f>
        <v/>
      </c>
      <c r="O495" s="66">
        <f>IFERROR(__xludf.DUMMYFUNCTION("""COMPUTED_VALUE"""),0.0)</f>
        <v>0</v>
      </c>
      <c r="P495" s="67"/>
      <c r="Q495" s="68">
        <f>IFERROR(__xludf.DUMMYFUNCTION("""COMPUTED_VALUE"""),150.0)</f>
        <v>150</v>
      </c>
      <c r="R495" s="69" t="str">
        <f>IFERROR(__xludf.DUMMYFUNCTION("""COMPUTED_VALUE"""),"Stifel")</f>
        <v>Stifel</v>
      </c>
      <c r="S495" s="64">
        <f>IFERROR(__xludf.DUMMYFUNCTION("""COMPUTED_VALUE"""),45086.0)</f>
        <v>45086</v>
      </c>
      <c r="T495" s="70" t="str">
        <f>IFERROR(__xludf.DUMMYFUNCTION("""COMPUTED_VALUE"""),"")</f>
        <v/>
      </c>
      <c r="U495" s="71" t="str">
        <f>IFERROR(__xludf.DUMMYFUNCTION("""COMPUTED_VALUE"""),"https://www.sec.gov/cgi-bin/browse-edgar?CIK=1847440")</f>
        <v>https://www.sec.gov/cgi-bin/browse-edgar?CIK=1847440</v>
      </c>
      <c r="V495" s="72" t="str">
        <f>IFERROR(__xludf.DUMMYFUNCTION("""COMPUTED_VALUE"""),"         Well-known Sponsor   ")</f>
        <v>         Well-known Sponsor   </v>
      </c>
      <c r="W495" s="73"/>
      <c r="X495" s="74"/>
      <c r="Y495" s="75"/>
      <c r="Z495" s="60"/>
      <c r="AA495" s="60"/>
      <c r="AB495" s="60"/>
      <c r="AC495" s="60"/>
      <c r="AD495" s="73"/>
      <c r="AE495" s="73"/>
      <c r="AF495" s="76"/>
      <c r="AG495" s="60"/>
    </row>
    <row r="496">
      <c r="A496" s="54" t="str">
        <f>IFERROR(__xludf.DUMMYFUNCTION("""COMPUTED_VALUE"""),"MLAC")</f>
        <v>MLAC</v>
      </c>
      <c r="B496" s="55" t="str">
        <f>IFERROR(__xludf.DUMMYFUNCTION("""COMPUTED_VALUE"""),"Malacca Straits Acquisition")</f>
        <v>Malacca Straits Acquisition</v>
      </c>
      <c r="C496" s="56" t="str">
        <f>IFERROR(__xludf.DUMMYFUNCTION("""COMPUTED_VALUE"""),"Definitive Agreement")</f>
        <v>Definitive Agreement</v>
      </c>
      <c r="D496" s="57" t="str">
        <f>IFERROR(__xludf.DUMMYFUNCTION("""COMPUTED_VALUE"""),"Southeast Asia")</f>
        <v>Southeast Asia</v>
      </c>
      <c r="E496" s="58" t="str">
        <f>IFERROR(__xludf.DUMMYFUNCTION("""COMPUTED_VALUE"""),"Asia Vision Network [DA: 03/22/21]")</f>
        <v>Asia Vision Network [DA: 03/22/21]</v>
      </c>
      <c r="F496" s="59"/>
      <c r="G496" s="60">
        <f>IFERROR(__xludf.DUMMYFUNCTION("""COMPUTED_VALUE"""),1.43781371E8)</f>
        <v>143781371</v>
      </c>
      <c r="H496" s="60">
        <f>IFERROR(__xludf.DUMMYFUNCTION("""COMPUTED_VALUE"""),1.423125E8)</f>
        <v>142312500</v>
      </c>
      <c r="I496" s="66">
        <f>IFERROR(__xludf.DUMMYFUNCTION("""COMPUTED_VALUE"""),9.9)</f>
        <v>9.9</v>
      </c>
      <c r="J496" s="62">
        <f>IFERROR(__xludf.DUMMYFUNCTION("""COMPUTED_VALUE"""),0.00406)</f>
        <v>0.00406</v>
      </c>
      <c r="K496" s="59">
        <f>IFERROR(__xludf.DUMMYFUNCTION("""COMPUTED_VALUE"""),10.23)</f>
        <v>10.23</v>
      </c>
      <c r="L496" s="87">
        <f>IFERROR(__xludf.DUMMYFUNCTION("""COMPUTED_VALUE"""),0.8899)</f>
        <v>0.8899</v>
      </c>
      <c r="M496" s="64" t="str">
        <f>IFERROR(__xludf.DUMMYFUNCTION("""COMPUTED_VALUE"""),"U: [1/2 W]; W: [1:1, $11.5]")</f>
        <v>U: [1/2 W]; W: [1:1, $11.5]</v>
      </c>
      <c r="N496" s="65" t="str">
        <f>IFERROR(__xludf.DUMMYFUNCTION("""COMPUTED_VALUE"""),"")</f>
        <v/>
      </c>
      <c r="O496" s="66">
        <f>IFERROR(__xludf.DUMMYFUNCTION("""COMPUTED_VALUE"""),0.0)</f>
        <v>0</v>
      </c>
      <c r="P496" s="67">
        <f>IFERROR(__xludf.DUMMYFUNCTION("""COMPUTED_VALUE"""),44027.0)</f>
        <v>44027</v>
      </c>
      <c r="Q496" s="68">
        <f>IFERROR(__xludf.DUMMYFUNCTION("""COMPUTED_VALUE"""),143.75)</f>
        <v>143.75</v>
      </c>
      <c r="R496" s="85" t="str">
        <f>IFERROR(__xludf.DUMMYFUNCTION("""COMPUTED_VALUE"""),"BTIG")</f>
        <v>BTIG</v>
      </c>
      <c r="S496" s="64">
        <f>IFERROR(__xludf.DUMMYFUNCTION("""COMPUTED_VALUE"""),44574.5)</f>
        <v>44574.5</v>
      </c>
      <c r="T496" s="70">
        <f>IFERROR(__xludf.DUMMYFUNCTION("""COMPUTED_VALUE"""),0.491324200913242)</f>
        <v>0.4913242009</v>
      </c>
      <c r="U496" s="71" t="str">
        <f>IFERROR(__xludf.DUMMYFUNCTION("""COMPUTED_VALUE"""),"https://www.sec.gov/cgi-bin/browse-edgar?CIK=1807594")</f>
        <v>https://www.sec.gov/cgi-bin/browse-edgar?CIK=1807594</v>
      </c>
      <c r="V496" s="72" t="str">
        <f>IFERROR(__xludf.DUMMYFUNCTION("""COMPUTED_VALUE""")," Trading Below $10 (Common)           ")</f>
        <v> Trading Below $10 (Common)           </v>
      </c>
      <c r="W496" s="73">
        <f>IFERROR(__xludf.DUMMYFUNCTION("""COMPUTED_VALUE"""),44277.0)</f>
        <v>44277</v>
      </c>
      <c r="X496" s="79">
        <f>IFERROR(__xludf.DUMMYFUNCTION("""COMPUTED_VALUE"""),8.333333333333334)</f>
        <v>8.333333333</v>
      </c>
      <c r="Y496" s="80" t="str">
        <f>IFERROR(__xludf.DUMMYFUNCTION("""COMPUTED_VALUE"""),"https://www.globenewswire.com/news-release/2021/03/22/2196760/0/en/Asia-Vision-Network-Indonesia-s-Fastest-Growing-OTT-Media-Provider-Signs-Agreement-to-Combine-with-Malacca-Straits-Acquisition-Company-Limited.html")</f>
        <v>https://www.globenewswire.com/news-release/2021/03/22/2196760/0/en/Asia-Vision-Network-Indonesia-s-Fastest-Growing-OTT-Media-Provider-Signs-Agreement-to-Combine-with-Malacca-Straits-Acquisition-Company-Limited.html</v>
      </c>
      <c r="Z496" s="81" t="str">
        <f>IFERROR(__xludf.DUMMYFUNCTION("""COMPUTED_VALUE"""),"https://www.sec.gov/Archives/edgar/data/1807594/000121390021016795/ea138123ex99-1_malacca.htm")</f>
        <v>https://www.sec.gov/Archives/edgar/data/1807594/000121390021016795/ea138123ex99-1_malacca.htm</v>
      </c>
      <c r="AA496" s="60"/>
      <c r="AB496" s="60">
        <f>IFERROR(__xludf.DUMMYFUNCTION("""COMPUTED_VALUE"""),5.8E8)</f>
        <v>580000000</v>
      </c>
      <c r="AC496" s="60">
        <f>IFERROR(__xludf.DUMMYFUNCTION("""COMPUTED_VALUE"""),5.73E8)</f>
        <v>573000000</v>
      </c>
      <c r="AD496" s="73"/>
      <c r="AE496" s="73"/>
      <c r="AF496" s="76">
        <f>IFERROR(__xludf.DUMMYFUNCTION("""COMPUTED_VALUE"""),5.8E7)</f>
        <v>58000000</v>
      </c>
      <c r="AG496" s="60">
        <f>IFERROR(__xludf.DUMMYFUNCTION("""COMPUTED_VALUE"""),5.742E8)</f>
        <v>574200000</v>
      </c>
    </row>
    <row r="497">
      <c r="A497" s="54" t="str">
        <f>IFERROR(__xludf.DUMMYFUNCTION("""COMPUTED_VALUE"""),"MON")</f>
        <v>MON</v>
      </c>
      <c r="B497" s="55" t="str">
        <f>IFERROR(__xludf.DUMMYFUNCTION("""COMPUTED_VALUE"""),"Monument Circle Acquisition Corp.")</f>
        <v>Monument Circle Acquisition Corp.</v>
      </c>
      <c r="C497" s="56" t="str">
        <f>IFERROR(__xludf.DUMMYFUNCTION("""COMPUTED_VALUE"""),"Searching")</f>
        <v>Searching</v>
      </c>
      <c r="D497" s="57" t="str">
        <f>IFERROR(__xludf.DUMMYFUNCTION("""COMPUTED_VALUE"""),"Media, Tech, Entertainment")</f>
        <v>Media, Tech, Entertainment</v>
      </c>
      <c r="E497" s="58"/>
      <c r="F497" s="59" t="str">
        <f>IFERROR(__xludf.DUMMYFUNCTION("""COMPUTED_VALUE"""),"Jeff Smulyan (Founder, Emmis Communications), Stephen Goldsmith (Fmr Mayor of Indianapolis, Deputy Mayor of NYC: Bloomberg)")</f>
        <v>Jeff Smulyan (Founder, Emmis Communications), Stephen Goldsmith (Fmr Mayor of Indianapolis, Deputy Mayor of NYC: Bloomberg)</v>
      </c>
      <c r="G497" s="60">
        <f>IFERROR(__xludf.DUMMYFUNCTION("""COMPUTED_VALUE"""),2.5E8)</f>
        <v>250000000</v>
      </c>
      <c r="H497" s="60">
        <f>IFERROR(__xludf.DUMMYFUNCTION("""COMPUTED_VALUE"""),2.447475E8)</f>
        <v>244747500</v>
      </c>
      <c r="I497" s="66">
        <f>IFERROR(__xludf.DUMMYFUNCTION("""COMPUTED_VALUE"""),9.7899)</f>
        <v>9.7899</v>
      </c>
      <c r="J497" s="62">
        <f>IFERROR(__xludf.DUMMYFUNCTION("""COMPUTED_VALUE"""),-1.0E-5)</f>
        <v>-0.00001</v>
      </c>
      <c r="K497" s="59" t="str">
        <f>IFERROR(__xludf.DUMMYFUNCTION("""COMPUTED_VALUE""")," ")</f>
        <v> </v>
      </c>
      <c r="L497" s="87" t="str">
        <f>IFERROR(__xludf.DUMMYFUNCTION("""COMPUTED_VALUE""")," ")</f>
        <v> </v>
      </c>
      <c r="M497" s="64" t="str">
        <f>IFERROR(__xludf.DUMMYFUNCTION("""COMPUTED_VALUE"""),"U: [1/2 W]; W: [1:1, $11.5]")</f>
        <v>U: [1/2 W]; W: [1:1, $11.5]</v>
      </c>
      <c r="N497" s="65">
        <f>IFERROR(__xludf.DUMMYFUNCTION("""COMPUTED_VALUE"""),44267.0)</f>
        <v>44267</v>
      </c>
      <c r="O497" s="66">
        <f>IFERROR(__xludf.DUMMYFUNCTION("""COMPUTED_VALUE"""),0.0)</f>
        <v>0</v>
      </c>
      <c r="P497" s="67">
        <f>IFERROR(__xludf.DUMMYFUNCTION("""COMPUTED_VALUE"""),44210.0)</f>
        <v>44210</v>
      </c>
      <c r="Q497" s="68">
        <f>IFERROR(__xludf.DUMMYFUNCTION("""COMPUTED_VALUE"""),250.0)</f>
        <v>250</v>
      </c>
      <c r="R497" s="85" t="str">
        <f>IFERROR(__xludf.DUMMYFUNCTION("""COMPUTED_VALUE"""),"Cantor, Moelis &amp; Company	")</f>
        <v>Cantor, Moelis &amp; Company	</v>
      </c>
      <c r="S497" s="64">
        <f>IFERROR(__xludf.DUMMYFUNCTION("""COMPUTED_VALUE"""),44940.0)</f>
        <v>44940</v>
      </c>
      <c r="T497" s="70">
        <f>IFERROR(__xludf.DUMMYFUNCTION("""COMPUTED_VALUE"""),0.1178082191780822)</f>
        <v>0.1178082192</v>
      </c>
      <c r="U497" s="71" t="str">
        <f>IFERROR(__xludf.DUMMYFUNCTION("""COMPUTED_VALUE"""),"https://www.sec.gov/cgi-bin/browse-edgar?CIK=1828325")</f>
        <v>https://www.sec.gov/cgi-bin/browse-edgar?CIK=1828325</v>
      </c>
      <c r="V497" s="72" t="str">
        <f>IFERROR(__xludf.DUMMYFUNCTION("""COMPUTED_VALUE""")," Trading Below $10 (Common)           ")</f>
        <v> Trading Below $10 (Common)           </v>
      </c>
      <c r="W497" s="73"/>
      <c r="X497" s="74"/>
      <c r="Y497" s="75"/>
      <c r="Z497" s="60"/>
      <c r="AA497" s="60"/>
      <c r="AB497" s="60"/>
      <c r="AC497" s="60"/>
      <c r="AD497" s="73"/>
      <c r="AE497" s="73"/>
      <c r="AF497" s="76"/>
      <c r="AG497" s="60" t="str">
        <f>IFERROR(__xludf.DUMMYFUNCTION("""COMPUTED_VALUE"""),"")</f>
        <v/>
      </c>
    </row>
    <row r="498">
      <c r="A498" s="88" t="str">
        <f>IFERROR(__xludf.DUMMYFUNCTION("""COMPUTED_VALUE"""),"MOOS")</f>
        <v>MOOS</v>
      </c>
      <c r="B498" s="55" t="str">
        <f>IFERROR(__xludf.DUMMYFUNCTION("""COMPUTED_VALUE"""),"Moose Pond Acquisition Corp, NCV I")</f>
        <v>Moose Pond Acquisition Corp, NCV I</v>
      </c>
      <c r="C498" s="56" t="str">
        <f>IFERROR(__xludf.DUMMYFUNCTION("""COMPUTED_VALUE"""),"Pre IPO")</f>
        <v>Pre IPO</v>
      </c>
      <c r="D498" s="77" t="str">
        <f>IFERROR(__xludf.DUMMYFUNCTION("""COMPUTED_VALUE"""),"Consumer Tech")</f>
        <v>Consumer Tech</v>
      </c>
      <c r="E498" s="58"/>
      <c r="F498" s="59" t="str">
        <f>IFERROR(__xludf.DUMMYFUNCTION("""COMPUTED_VALUE"""),"Cotter Cunningham (Founder/Fmr Chairman/CEO &amp; CEO, RetailMeNot; Fmr COO, Bankrate), Brian Sharples (Founder/Fmr CEO, HomeAway; Director, GoDaddy, Avalara, Yelp, &amp; Ally Financial)")</f>
        <v>Cotter Cunningham (Founder/Fmr Chairman/CEO &amp; CEO, RetailMeNot; Fmr COO, Bankrate), Brian Sharples (Founder/Fmr CEO, HomeAway; Director, GoDaddy, Avalara, Yelp, &amp; Ally Financial)</v>
      </c>
      <c r="G498" s="60">
        <f>IFERROR(__xludf.DUMMYFUNCTION("""COMPUTED_VALUE"""),2.0E8)</f>
        <v>200000000</v>
      </c>
      <c r="H498" s="60" t="str">
        <f>IFERROR(__xludf.DUMMYFUNCTION("""COMPUTED_VALUE""")," ")</f>
        <v> </v>
      </c>
      <c r="I498" s="66" t="str">
        <f>IFERROR(__xludf.DUMMYFUNCTION("""COMPUTED_VALUE""")," ")</f>
        <v> </v>
      </c>
      <c r="J498" s="62" t="str">
        <f>IFERROR(__xludf.DUMMYFUNCTION("""COMPUTED_VALUE""")," ")</f>
        <v> </v>
      </c>
      <c r="K498" s="59" t="str">
        <f>IFERROR(__xludf.DUMMYFUNCTION("""COMPUTED_VALUE""")," ")</f>
        <v> </v>
      </c>
      <c r="L498" s="87" t="str">
        <f>IFERROR(__xludf.DUMMYFUNCTION("""COMPUTED_VALUE""")," ")</f>
        <v> </v>
      </c>
      <c r="M498" s="64" t="str">
        <f>IFERROR(__xludf.DUMMYFUNCTION("""COMPUTED_VALUE"""),"U: [1/3 W]; W: [1:1, $11.5]")</f>
        <v>U: [1/3 W]; W: [1:1, $11.5]</v>
      </c>
      <c r="N498" s="65" t="str">
        <f>IFERROR(__xludf.DUMMYFUNCTION("""COMPUTED_VALUE"""),"")</f>
        <v/>
      </c>
      <c r="O498" s="66">
        <f>IFERROR(__xludf.DUMMYFUNCTION("""COMPUTED_VALUE"""),0.0)</f>
        <v>0</v>
      </c>
      <c r="P498" s="67"/>
      <c r="Q498" s="68">
        <f>IFERROR(__xludf.DUMMYFUNCTION("""COMPUTED_VALUE"""),200.0)</f>
        <v>200</v>
      </c>
      <c r="R498" s="69" t="str">
        <f>IFERROR(__xludf.DUMMYFUNCTION("""COMPUTED_VALUE"""),"Credit Suisse")</f>
        <v>Credit Suisse</v>
      </c>
      <c r="S498" s="64">
        <f>IFERROR(__xludf.DUMMYFUNCTION("""COMPUTED_VALUE"""),45086.0)</f>
        <v>45086</v>
      </c>
      <c r="T498" s="70" t="str">
        <f>IFERROR(__xludf.DUMMYFUNCTION("""COMPUTED_VALUE"""),"")</f>
        <v/>
      </c>
      <c r="U498" s="71" t="str">
        <f>IFERROR(__xludf.DUMMYFUNCTION("""COMPUTED_VALUE"""),"https://www.sec.gov/cgi-bin/browse-edgar?CIK=1848164")</f>
        <v>https://www.sec.gov/cgi-bin/browse-edgar?CIK=1848164</v>
      </c>
      <c r="V498" s="72" t="str">
        <f>IFERROR(__xludf.DUMMYFUNCTION("""COMPUTED_VALUE"""),"            ")</f>
        <v>            </v>
      </c>
      <c r="W498" s="73"/>
      <c r="X498" s="74"/>
      <c r="Y498" s="75"/>
      <c r="Z498" s="60"/>
      <c r="AA498" s="60"/>
      <c r="AB498" s="60"/>
      <c r="AC498" s="60"/>
      <c r="AD498" s="73"/>
      <c r="AE498" s="73"/>
      <c r="AF498" s="76"/>
      <c r="AG498" s="60"/>
    </row>
    <row r="499">
      <c r="A499" s="54" t="str">
        <f>IFERROR(__xludf.DUMMYFUNCTION("""COMPUTED_VALUE"""),"MOTN")</f>
        <v>MOTN</v>
      </c>
      <c r="B499" s="55" t="str">
        <f>IFERROR(__xludf.DUMMYFUNCTION("""COMPUTED_VALUE"""),"Motion Acquisition Corp")</f>
        <v>Motion Acquisition Corp</v>
      </c>
      <c r="C499" s="56" t="str">
        <f>IFERROR(__xludf.DUMMYFUNCTION("""COMPUTED_VALUE"""),"Definitive Agreement")</f>
        <v>Definitive Agreement</v>
      </c>
      <c r="D499" s="57" t="str">
        <f>IFERROR(__xludf.DUMMYFUNCTION("""COMPUTED_VALUE"""),"Telematics (including transportation software)")</f>
        <v>Telematics (including transportation software)</v>
      </c>
      <c r="E499" s="58" t="str">
        <f>IFERROR(__xludf.DUMMYFUNCTION("""COMPUTED_VALUE"""),"Ambulnz (dba DocGo) [DA: 03/09/21]")</f>
        <v>Ambulnz (dba DocGo) [DA: 03/09/21]</v>
      </c>
      <c r="F499" s="59" t="str">
        <f>IFERROR(__xludf.DUMMYFUNCTION("""COMPUTED_VALUE"""),"James Travers (Fmr Chairman, Fleetmatics Group), Michael Burdiek (Fmr CEO, CalAmp)")</f>
        <v>James Travers (Fmr Chairman, Fleetmatics Group), Michael Burdiek (Fmr CEO, CalAmp)</v>
      </c>
      <c r="G499" s="60">
        <f>IFERROR(__xludf.DUMMYFUNCTION("""COMPUTED_VALUE"""),1.15020078E8)</f>
        <v>115020078</v>
      </c>
      <c r="H499" s="60">
        <f>IFERROR(__xludf.DUMMYFUNCTION("""COMPUTED_VALUE"""),1.1385E8)</f>
        <v>113850000</v>
      </c>
      <c r="I499" s="66">
        <f>IFERROR(__xludf.DUMMYFUNCTION("""COMPUTED_VALUE"""),9.9)</f>
        <v>9.9</v>
      </c>
      <c r="J499" s="62">
        <f>IFERROR(__xludf.DUMMYFUNCTION("""COMPUTED_VALUE"""),-0.00302)</f>
        <v>-0.00302</v>
      </c>
      <c r="K499" s="59">
        <f>IFERROR(__xludf.DUMMYFUNCTION("""COMPUTED_VALUE"""),10.15)</f>
        <v>10.15</v>
      </c>
      <c r="L499" s="87">
        <f>IFERROR(__xludf.DUMMYFUNCTION("""COMPUTED_VALUE"""),0.96)</f>
        <v>0.96</v>
      </c>
      <c r="M499" s="64" t="str">
        <f>IFERROR(__xludf.DUMMYFUNCTION("""COMPUTED_VALUE"""),"U: [1/3 W]; W: [1:1, $11.5]")</f>
        <v>U: [1/3 W]; W: [1:1, $11.5]</v>
      </c>
      <c r="N499" s="65" t="str">
        <f>IFERROR(__xludf.DUMMYFUNCTION("""COMPUTED_VALUE"""),"")</f>
        <v/>
      </c>
      <c r="O499" s="66">
        <f>IFERROR(__xludf.DUMMYFUNCTION("""COMPUTED_VALUE"""),0.0)</f>
        <v>0</v>
      </c>
      <c r="P499" s="67">
        <f>IFERROR(__xludf.DUMMYFUNCTION("""COMPUTED_VALUE"""),44119.0)</f>
        <v>44119</v>
      </c>
      <c r="Q499" s="68">
        <f>IFERROR(__xludf.DUMMYFUNCTION("""COMPUTED_VALUE"""),115.0)</f>
        <v>115</v>
      </c>
      <c r="R499" s="85" t="str">
        <f>IFERROR(__xludf.DUMMYFUNCTION("""COMPUTED_VALUE"""),"Barclays")</f>
        <v>Barclays</v>
      </c>
      <c r="S499" s="64">
        <f>IFERROR(__xludf.DUMMYFUNCTION("""COMPUTED_VALUE"""),44849.0)</f>
        <v>44849</v>
      </c>
      <c r="T499" s="70">
        <f>IFERROR(__xludf.DUMMYFUNCTION("""COMPUTED_VALUE"""),0.24246575342465754)</f>
        <v>0.2424657534</v>
      </c>
      <c r="U499" s="71" t="str">
        <f>IFERROR(__xludf.DUMMYFUNCTION("""COMPUTED_VALUE"""),"https://www.sec.gov/cgi-bin/browse-edgar?CIK=1822359")</f>
        <v>https://www.sec.gov/cgi-bin/browse-edgar?CIK=1822359</v>
      </c>
      <c r="V499" s="72" t="str">
        <f>IFERROR(__xludf.DUMMYFUNCTION("""COMPUTED_VALUE""")," Trading Below $10 (Common)           ")</f>
        <v> Trading Below $10 (Common)           </v>
      </c>
      <c r="W499" s="73">
        <f>IFERROR(__xludf.DUMMYFUNCTION("""COMPUTED_VALUE"""),44264.0)</f>
        <v>44264</v>
      </c>
      <c r="X499" s="79">
        <f>IFERROR(__xludf.DUMMYFUNCTION("""COMPUTED_VALUE"""),4.833333333333333)</f>
        <v>4.833333333</v>
      </c>
      <c r="Y499" s="80" t="str">
        <f>IFERROR(__xludf.DUMMYFUNCTION("""COMPUTED_VALUE"""),"https://www.prnewswire.com/news-releases/ambulnz-dba-docgo-a-leading-provider-of-last-mile-telehealth-and-integrated-medical-mobility-services-announces-agreement-to-become-publicly-traded-via-merger-with-motion-acquisition-corp-301243040.html")</f>
        <v>https://www.prnewswire.com/news-releases/ambulnz-dba-docgo-a-leading-provider-of-last-mile-telehealth-and-integrated-medical-mobility-services-announces-agreement-to-become-publicly-traded-via-merger-with-motion-acquisition-corp-301243040.html</v>
      </c>
      <c r="Z499" s="81" t="str">
        <f>IFERROR(__xludf.DUMMYFUNCTION("""COMPUTED_VALUE"""),"https://www.sec.gov/Archives/edgar/data/0001822359/000121390021014150/ea137180ex99-2_motionacq.htm")</f>
        <v>https://www.sec.gov/Archives/edgar/data/0001822359/000121390021014150/ea137180ex99-2_motionacq.htm</v>
      </c>
      <c r="AA499" s="60">
        <f>IFERROR(__xludf.DUMMYFUNCTION("""COMPUTED_VALUE"""),1.25E8)</f>
        <v>125000000</v>
      </c>
      <c r="AB499" s="60">
        <f>IFERROR(__xludf.DUMMYFUNCTION("""COMPUTED_VALUE"""),1.105E9)</f>
        <v>1105000000</v>
      </c>
      <c r="AC499" s="60">
        <f>IFERROR(__xludf.DUMMYFUNCTION("""COMPUTED_VALUE"""),9.0E8)</f>
        <v>900000000</v>
      </c>
      <c r="AD499" s="73"/>
      <c r="AE499" s="73"/>
      <c r="AF499" s="76">
        <f>IFERROR(__xludf.DUMMYFUNCTION("""COMPUTED_VALUE"""),1.105E8)</f>
        <v>110500000</v>
      </c>
      <c r="AG499" s="60">
        <f>IFERROR(__xludf.DUMMYFUNCTION("""COMPUTED_VALUE"""),1.09395E9)</f>
        <v>1093950000</v>
      </c>
    </row>
    <row r="500">
      <c r="A500" s="54" t="str">
        <f>IFERROR(__xludf.DUMMYFUNCTION("""COMPUTED_VALUE"""),"MOTV")</f>
        <v>MOTV</v>
      </c>
      <c r="B500" s="55" t="str">
        <f>IFERROR(__xludf.DUMMYFUNCTION("""COMPUTED_VALUE"""),"Motive Capital Corp")</f>
        <v>Motive Capital Corp</v>
      </c>
      <c r="C500" s="56" t="str">
        <f>IFERROR(__xludf.DUMMYFUNCTION("""COMPUTED_VALUE"""),"Searching")</f>
        <v>Searching</v>
      </c>
      <c r="D500" s="57" t="str">
        <f>IFERROR(__xludf.DUMMYFUNCTION("""COMPUTED_VALUE"""),"Fintech, Financial Services")</f>
        <v>Fintech, Financial Services</v>
      </c>
      <c r="E500" s="58"/>
      <c r="F500" s="59" t="str">
        <f>IFERROR(__xludf.DUMMYFUNCTION("""COMPUTED_VALUE"""),"Dina Dublon (Fmr CFO, JPMorgan Chase; Director, PepsiCo), Blythe Masters (Fmr Exec Committee member, JP Morgan; Fmr CEO, Digital Asset)")</f>
        <v>Dina Dublon (Fmr CFO, JPMorgan Chase; Director, PepsiCo), Blythe Masters (Fmr Exec Committee member, JP Morgan; Fmr CEO, Digital Asset)</v>
      </c>
      <c r="G500" s="60">
        <f>IFERROR(__xludf.DUMMYFUNCTION("""COMPUTED_VALUE"""),4.14020525E8)</f>
        <v>414020525</v>
      </c>
      <c r="H500" s="60">
        <f>IFERROR(__xludf.DUMMYFUNCTION("""COMPUTED_VALUE"""),4.15656E8)</f>
        <v>415656000</v>
      </c>
      <c r="I500" s="66">
        <f>IFERROR(__xludf.DUMMYFUNCTION("""COMPUTED_VALUE"""),10.04)</f>
        <v>10.04</v>
      </c>
      <c r="J500" s="62">
        <f>IFERROR(__xludf.DUMMYFUNCTION("""COMPUTED_VALUE"""),0.00905)</f>
        <v>0.00905</v>
      </c>
      <c r="K500" s="59">
        <f>IFERROR(__xludf.DUMMYFUNCTION("""COMPUTED_VALUE"""),10.41)</f>
        <v>10.41</v>
      </c>
      <c r="L500" s="87">
        <f>IFERROR(__xludf.DUMMYFUNCTION("""COMPUTED_VALUE"""),1.2)</f>
        <v>1.2</v>
      </c>
      <c r="M500" s="64" t="str">
        <f>IFERROR(__xludf.DUMMYFUNCTION("""COMPUTED_VALUE"""),"U: [1/3 W]; W: [1:1, $11.5]")</f>
        <v>U: [1/3 W]; W: [1:1, $11.5]</v>
      </c>
      <c r="N500" s="65" t="str">
        <f>IFERROR(__xludf.DUMMYFUNCTION("""COMPUTED_VALUE"""),"")</f>
        <v/>
      </c>
      <c r="O500" s="66">
        <f>IFERROR(__xludf.DUMMYFUNCTION("""COMPUTED_VALUE"""),0.0)</f>
        <v>0</v>
      </c>
      <c r="P500" s="67">
        <f>IFERROR(__xludf.DUMMYFUNCTION("""COMPUTED_VALUE"""),44175.0)</f>
        <v>44175</v>
      </c>
      <c r="Q500" s="68">
        <f>IFERROR(__xludf.DUMMYFUNCTION("""COMPUTED_VALUE"""),414.0)</f>
        <v>414</v>
      </c>
      <c r="R500" s="85" t="str">
        <f>IFERROR(__xludf.DUMMYFUNCTION("""COMPUTED_VALUE"""),"UBS")</f>
        <v>UBS</v>
      </c>
      <c r="S500" s="64">
        <f>IFERROR(__xludf.DUMMYFUNCTION("""COMPUTED_VALUE"""),44905.0)</f>
        <v>44905</v>
      </c>
      <c r="T500" s="70">
        <f>IFERROR(__xludf.DUMMYFUNCTION("""COMPUTED_VALUE"""),0.16575342465753426)</f>
        <v>0.1657534247</v>
      </c>
      <c r="U500" s="71" t="str">
        <f>IFERROR(__xludf.DUMMYFUNCTION("""COMPUTED_VALUE"""),"https://www.sec.gov/cgi-bin/browse-edgar?CIK=1827821")</f>
        <v>https://www.sec.gov/cgi-bin/browse-edgar?CIK=1827821</v>
      </c>
      <c r="V500" s="72" t="str">
        <f>IFERROR(__xludf.DUMMYFUNCTION("""COMPUTED_VALUE"""),"            ")</f>
        <v>            </v>
      </c>
      <c r="W500" s="73"/>
      <c r="X500" s="74"/>
      <c r="Y500" s="75"/>
      <c r="Z500" s="60"/>
      <c r="AA500" s="60"/>
      <c r="AB500" s="60"/>
      <c r="AC500" s="60"/>
      <c r="AD500" s="73"/>
      <c r="AE500" s="73"/>
      <c r="AF500" s="76"/>
      <c r="AG500" s="60" t="str">
        <f>IFERROR(__xludf.DUMMYFUNCTION("""COMPUTED_VALUE"""),"")</f>
        <v/>
      </c>
    </row>
    <row r="501">
      <c r="A501" s="88" t="str">
        <f>IFERROR(__xludf.DUMMYFUNCTION("""COMPUTED_VALUE"""),"MPAC")</f>
        <v>MPAC</v>
      </c>
      <c r="B501" s="55" t="str">
        <f>IFERROR(__xludf.DUMMYFUNCTION("""COMPUTED_VALUE"""),"Model Performance Acquisition Corp")</f>
        <v>Model Performance Acquisition Corp</v>
      </c>
      <c r="C501" s="56" t="str">
        <f>IFERROR(__xludf.DUMMYFUNCTION("""COMPUTED_VALUE"""),"Searching (Pre Unit Split)")</f>
        <v>Searching (Pre Unit Split)</v>
      </c>
      <c r="D501" s="77" t="str">
        <f>IFERROR(__xludf.DUMMYFUNCTION("""COMPUTED_VALUE"""),"Asia")</f>
        <v>Asia</v>
      </c>
      <c r="E501" s="58"/>
      <c r="F501" s="59"/>
      <c r="G501" s="60">
        <f>IFERROR(__xludf.DUMMYFUNCTION("""COMPUTED_VALUE"""),5.0E7)</f>
        <v>50000000</v>
      </c>
      <c r="H501" s="60" t="str">
        <f>IFERROR(__xludf.DUMMYFUNCTION("""COMPUTED_VALUE""")," ")</f>
        <v> </v>
      </c>
      <c r="I501" s="66" t="str">
        <f>IFERROR(__xludf.DUMMYFUNCTION("""COMPUTED_VALUE""")," ")</f>
        <v> </v>
      </c>
      <c r="J501" s="62" t="str">
        <f>IFERROR(__xludf.DUMMYFUNCTION("""COMPUTED_VALUE""")," ")</f>
        <v> </v>
      </c>
      <c r="K501" s="59">
        <f>IFERROR(__xludf.DUMMYFUNCTION("""COMPUTED_VALUE"""),10.0899)</f>
        <v>10.0899</v>
      </c>
      <c r="L501" s="87" t="str">
        <f>IFERROR(__xludf.DUMMYFUNCTION("""COMPUTED_VALUE""")," ")</f>
        <v> </v>
      </c>
      <c r="M501" s="64" t="str">
        <f>IFERROR(__xludf.DUMMYFUNCTION("""COMPUTED_VALUE"""),"U: [1/2 W, 1 R (1/10 sh)]; W: [1:1, $11.5]")</f>
        <v>U: [1/2 W, 1 R (1/10 sh)]; W: [1:1, $11.5]</v>
      </c>
      <c r="N501" s="65">
        <f>IFERROR(__xludf.DUMMYFUNCTION("""COMPUTED_VALUE"""),44345.0)</f>
        <v>44345</v>
      </c>
      <c r="O501" s="66">
        <f>IFERROR(__xludf.DUMMYFUNCTION("""COMPUTED_VALUE"""),0.0)</f>
        <v>0</v>
      </c>
      <c r="P501" s="67">
        <f>IFERROR(__xludf.DUMMYFUNCTION("""COMPUTED_VALUE"""),44293.0)</f>
        <v>44293</v>
      </c>
      <c r="Q501" s="68">
        <f>IFERROR(__xludf.DUMMYFUNCTION("""COMPUTED_VALUE"""),50.0)</f>
        <v>50</v>
      </c>
      <c r="R501" s="69" t="str">
        <f>IFERROR(__xludf.DUMMYFUNCTION("""COMPUTED_VALUE"""),"Maxim Group LLC")</f>
        <v>Maxim Group LLC</v>
      </c>
      <c r="S501" s="64">
        <f>IFERROR(__xludf.DUMMYFUNCTION("""COMPUTED_VALUE"""),44840.5)</f>
        <v>44840.5</v>
      </c>
      <c r="T501" s="70">
        <f>IFERROR(__xludf.DUMMYFUNCTION("""COMPUTED_VALUE"""),0.005479452054794521)</f>
        <v>0.005479452055</v>
      </c>
      <c r="U501" s="71" t="str">
        <f>IFERROR(__xludf.DUMMYFUNCTION("""COMPUTED_VALUE"""),"https://www.sec.gov/cgi-bin/browse-edgar?CIK=1841993")</f>
        <v>https://www.sec.gov/cgi-bin/browse-edgar?CIK=1841993</v>
      </c>
      <c r="V501" s="72" t="str">
        <f>IFERROR(__xludf.DUMMYFUNCTION("""COMPUTED_VALUE"""),"  Recent IPO     Rights     ")</f>
        <v>  Recent IPO     Rights     </v>
      </c>
      <c r="W501" s="73"/>
      <c r="X501" s="74"/>
      <c r="Y501" s="75"/>
      <c r="Z501" s="60"/>
      <c r="AA501" s="60"/>
      <c r="AB501" s="60"/>
      <c r="AC501" s="60"/>
      <c r="AD501" s="73"/>
      <c r="AE501" s="73"/>
      <c r="AF501" s="76"/>
      <c r="AG501" s="60"/>
    </row>
    <row r="502">
      <c r="A502" s="54" t="str">
        <f>IFERROR(__xludf.DUMMYFUNCTION("""COMPUTED_VALUE"""),"MRAC")</f>
        <v>MRAC</v>
      </c>
      <c r="B502" s="55" t="str">
        <f>IFERROR(__xludf.DUMMYFUNCTION("""COMPUTED_VALUE"""),"Marquee Raine Acquisition Corp.")</f>
        <v>Marquee Raine Acquisition Corp.</v>
      </c>
      <c r="C502" s="56" t="str">
        <f>IFERROR(__xludf.DUMMYFUNCTION("""COMPUTED_VALUE"""),"Searching")</f>
        <v>Searching</v>
      </c>
      <c r="D502" s="57" t="str">
        <f>IFERROR(__xludf.DUMMYFUNCTION("""COMPUTED_VALUE"""),"TMT")</f>
        <v>TMT</v>
      </c>
      <c r="E502" s="58" t="str">
        <f>IFERROR(__xludf.DUMMYFUNCTION("""COMPUTED_VALUE"""),"[In talks (unconfirmed) with Enjoy Technology: Per Bloomberg 4/5/21]")</f>
        <v>[In talks (unconfirmed) with Enjoy Technology: Per Bloomberg 4/5/21]</v>
      </c>
      <c r="F502" s="59" t="str">
        <f>IFERROR(__xludf.DUMMYFUNCTION("""COMPUTED_VALUE"""),"Crane Kenney (President of Business Ops, Chicago Cubs), Thomas Ricketts (Director, TD Ameritrade; Exec Chairman, Chicago Cubs), Thomas Freston (Fmr CEO, Viacom &amp; MTV Networks), Matthew Maloney (Founder/CEO, Grubhub)")</f>
        <v>Crane Kenney (President of Business Ops, Chicago Cubs), Thomas Ricketts (Director, TD Ameritrade; Exec Chairman, Chicago Cubs), Thomas Freston (Fmr CEO, Viacom &amp; MTV Networks), Matthew Maloney (Founder/CEO, Grubhub)</v>
      </c>
      <c r="G502" s="60">
        <f>IFERROR(__xludf.DUMMYFUNCTION("""COMPUTED_VALUE"""),3.7375E8)</f>
        <v>373750000</v>
      </c>
      <c r="H502" s="60">
        <f>IFERROR(__xludf.DUMMYFUNCTION("""COMPUTED_VALUE"""),3.7188125E8)</f>
        <v>371881250</v>
      </c>
      <c r="I502" s="66">
        <f>IFERROR(__xludf.DUMMYFUNCTION("""COMPUTED_VALUE"""),9.95)</f>
        <v>9.95</v>
      </c>
      <c r="J502" s="62"/>
      <c r="K502" s="59">
        <f>IFERROR(__xludf.DUMMYFUNCTION("""COMPUTED_VALUE"""),10.06)</f>
        <v>10.06</v>
      </c>
      <c r="L502" s="87">
        <f>IFERROR(__xludf.DUMMYFUNCTION("""COMPUTED_VALUE"""),1.02)</f>
        <v>1.02</v>
      </c>
      <c r="M502" s="64" t="str">
        <f>IFERROR(__xludf.DUMMYFUNCTION("""COMPUTED_VALUE"""),"U: [1/4 W]; W: [1:1, $11.5]")</f>
        <v>U: [1/4 W]; W: [1:1, $11.5]</v>
      </c>
      <c r="N502" s="65" t="str">
        <f>IFERROR(__xludf.DUMMYFUNCTION("""COMPUTED_VALUE"""),"")</f>
        <v/>
      </c>
      <c r="O502" s="66">
        <f>IFERROR(__xludf.DUMMYFUNCTION("""COMPUTED_VALUE"""),0.0)</f>
        <v>0</v>
      </c>
      <c r="P502" s="67">
        <f>IFERROR(__xludf.DUMMYFUNCTION("""COMPUTED_VALUE"""),44179.0)</f>
        <v>44179</v>
      </c>
      <c r="Q502" s="68">
        <f>IFERROR(__xludf.DUMMYFUNCTION("""COMPUTED_VALUE"""),373.75)</f>
        <v>373.75</v>
      </c>
      <c r="R502" s="85" t="str">
        <f>IFERROR(__xludf.DUMMYFUNCTION("""COMPUTED_VALUE"""),"Credit Suisse")</f>
        <v>Credit Suisse</v>
      </c>
      <c r="S502" s="64">
        <f>IFERROR(__xludf.DUMMYFUNCTION("""COMPUTED_VALUE"""),44909.0)</f>
        <v>44909</v>
      </c>
      <c r="T502" s="70">
        <f>IFERROR(__xludf.DUMMYFUNCTION("""COMPUTED_VALUE"""),0.16027397260273973)</f>
        <v>0.1602739726</v>
      </c>
      <c r="U502" s="71" t="str">
        <f>IFERROR(__xludf.DUMMYFUNCTION("""COMPUTED_VALUE"""),"https://www.sec.gov/cgi-bin/browse-edgar?CIK=1830180")</f>
        <v>https://www.sec.gov/cgi-bin/browse-edgar?CIK=1830180</v>
      </c>
      <c r="V502" s="72" t="str">
        <f>IFERROR(__xludf.DUMMYFUNCTION("""COMPUTED_VALUE""")," Trading Below $10 (Common)           ")</f>
        <v> Trading Below $10 (Common)           </v>
      </c>
      <c r="W502" s="73"/>
      <c r="X502" s="74"/>
      <c r="Y502" s="75"/>
      <c r="Z502" s="60"/>
      <c r="AA502" s="60"/>
      <c r="AB502" s="60"/>
      <c r="AC502" s="60"/>
      <c r="AD502" s="73"/>
      <c r="AE502" s="73"/>
      <c r="AF502" s="76"/>
      <c r="AG502" s="60" t="str">
        <f>IFERROR(__xludf.DUMMYFUNCTION("""COMPUTED_VALUE"""),"")</f>
        <v/>
      </c>
    </row>
    <row r="503">
      <c r="A503" s="54" t="str">
        <f>IFERROR(__xludf.DUMMYFUNCTION("""COMPUTED_VALUE"""),"MSAC")</f>
        <v>MSAC</v>
      </c>
      <c r="B503" s="55" t="str">
        <f>IFERROR(__xludf.DUMMYFUNCTION("""COMPUTED_VALUE"""),"Medicus Sciences Acquisition Corp.")</f>
        <v>Medicus Sciences Acquisition Corp.</v>
      </c>
      <c r="C503" s="56" t="str">
        <f>IFERROR(__xludf.DUMMYFUNCTION("""COMPUTED_VALUE"""),"Searching")</f>
        <v>Searching</v>
      </c>
      <c r="D503" s="57" t="str">
        <f>IFERROR(__xludf.DUMMYFUNCTION("""COMPUTED_VALUE"""),"MedTech")</f>
        <v>MedTech</v>
      </c>
      <c r="E503" s="58"/>
      <c r="F503" s="59" t="str">
        <f>IFERROR(__xludf.DUMMYFUNCTION("""COMPUTED_VALUE"""),"Jacob Gottlieb, M.D. (MP/CIP, Altium Capital Management; Fmr Managing Member/CIO, Visium Asset Managment)")</f>
        <v>Jacob Gottlieb, M.D. (MP/CIP, Altium Capital Management; Fmr Managing Member/CIO, Visium Asset Managment)</v>
      </c>
      <c r="G503" s="60">
        <f>IFERROR(__xludf.DUMMYFUNCTION("""COMPUTED_VALUE"""),9.2E7)</f>
        <v>92000000</v>
      </c>
      <c r="H503" s="60">
        <f>IFERROR(__xludf.DUMMYFUNCTION("""COMPUTED_VALUE"""),9.1448E7)</f>
        <v>91448000</v>
      </c>
      <c r="I503" s="66">
        <f>IFERROR(__xludf.DUMMYFUNCTION("""COMPUTED_VALUE"""),9.94)</f>
        <v>9.94</v>
      </c>
      <c r="J503" s="62">
        <f>IFERROR(__xludf.DUMMYFUNCTION("""COMPUTED_VALUE"""),-0.03024)</f>
        <v>-0.03024</v>
      </c>
      <c r="K503" s="59">
        <f>IFERROR(__xludf.DUMMYFUNCTION("""COMPUTED_VALUE"""),10.1)</f>
        <v>10.1</v>
      </c>
      <c r="L503" s="87">
        <f>IFERROR(__xludf.DUMMYFUNCTION("""COMPUTED_VALUE"""),1.25)</f>
        <v>1.25</v>
      </c>
      <c r="M503" s="64" t="str">
        <f>IFERROR(__xludf.DUMMYFUNCTION("""COMPUTED_VALUE"""),"U: [1/9 W, 1 R (2/9W)]; W: [1:1, $11.5]")</f>
        <v>U: [1/9 W, 1 R (2/9W)]; W: [1:1, $11.5]</v>
      </c>
      <c r="N503" s="65">
        <f>IFERROR(__xludf.DUMMYFUNCTION("""COMPUTED_VALUE"""),44291.0)</f>
        <v>44291</v>
      </c>
      <c r="O503" s="66">
        <f>IFERROR(__xludf.DUMMYFUNCTION("""COMPUTED_VALUE"""),0.0)</f>
        <v>0</v>
      </c>
      <c r="P503" s="67">
        <f>IFERROR(__xludf.DUMMYFUNCTION("""COMPUTED_VALUE"""),44242.0)</f>
        <v>44242</v>
      </c>
      <c r="Q503" s="68">
        <f>IFERROR(__xludf.DUMMYFUNCTION("""COMPUTED_VALUE"""),92.0)</f>
        <v>92</v>
      </c>
      <c r="R503" s="69" t="str">
        <f>IFERROR(__xludf.DUMMYFUNCTION("""COMPUTED_VALUE"""),"Maxim")</f>
        <v>Maxim</v>
      </c>
      <c r="S503" s="64">
        <f>IFERROR(__xludf.DUMMYFUNCTION("""COMPUTED_VALUE"""),44972.0)</f>
        <v>44972</v>
      </c>
      <c r="T503" s="70">
        <f>IFERROR(__xludf.DUMMYFUNCTION("""COMPUTED_VALUE"""),0.07397260273972603)</f>
        <v>0.07397260274</v>
      </c>
      <c r="U503" s="71" t="str">
        <f>IFERROR(__xludf.DUMMYFUNCTION("""COMPUTED_VALUE"""),"https://www.sec.gov/cgi-bin/browse-edgar?CIK=1836517")</f>
        <v>https://www.sec.gov/cgi-bin/browse-edgar?CIK=1836517</v>
      </c>
      <c r="V503" s="72" t="str">
        <f>IFERROR(__xludf.DUMMYFUNCTION("""COMPUTED_VALUE""")," Trading Below $10 (Common)      Has Rights     ")</f>
        <v> Trading Below $10 (Common)      Has Rights     </v>
      </c>
      <c r="W503" s="73"/>
      <c r="X503" s="74"/>
      <c r="Y503" s="75"/>
      <c r="Z503" s="60"/>
      <c r="AA503" s="60"/>
      <c r="AB503" s="60"/>
      <c r="AC503" s="60"/>
      <c r="AD503" s="73"/>
      <c r="AE503" s="73"/>
      <c r="AF503" s="76"/>
      <c r="AG503" s="60" t="str">
        <f>IFERROR(__xludf.DUMMYFUNCTION("""COMPUTED_VALUE"""),"")</f>
        <v/>
      </c>
    </row>
    <row r="504">
      <c r="A504" s="88" t="str">
        <f>IFERROR(__xludf.DUMMYFUNCTION("""COMPUTED_VALUE"""),"MSDA")</f>
        <v>MSDA</v>
      </c>
      <c r="B504" s="55" t="str">
        <f>IFERROR(__xludf.DUMMYFUNCTION("""COMPUTED_VALUE"""),"MSD Acquisition Corp.")</f>
        <v>MSD Acquisition Corp.</v>
      </c>
      <c r="C504" s="56" t="str">
        <f>IFERROR(__xludf.DUMMYFUNCTION("""COMPUTED_VALUE"""),"Searching (Pre Unit Split)")</f>
        <v>Searching (Pre Unit Split)</v>
      </c>
      <c r="D504" s="77" t="str">
        <f>IFERROR(__xludf.DUMMYFUNCTION("""COMPUTED_VALUE"""),"Tech, Media")</f>
        <v>Tech, Media</v>
      </c>
      <c r="E504" s="58"/>
      <c r="F504" s="59" t="str">
        <f>IFERROR(__xludf.DUMMYFUNCTION("""COMPUTED_VALUE"""),"Michael Dell (Founder/CEO, Dell), Gregg Lemkau (CEO/Partner, MSD Partners; Fmr Co-head, Investment Banking Division of Goldman Sachs), Jim Breyer (Founder/CEO, Breyer Capital; Fmr Partner, Accel Partners; Director, Blackstone; Fmr Director, Facebook, 21st"&amp;" Century Fox, Walmart, Dell, &amp; Etsy), Edith Cooper (Director, Etsy &amp; Slack), Barry McCarthy (Director/Former CFO, Spotify; Former CFO, Netflix)")</f>
        <v>Michael Dell (Founder/CEO, Dell), Gregg Lemkau (CEO/Partner, MSD Partners; Fmr Co-head, Investment Banking Division of Goldman Sachs), Jim Breyer (Founder/CEO, Breyer Capital; Fmr Partner, Accel Partners; Director, Blackstone; Fmr Director, Facebook, 21st Century Fox, Walmart, Dell, &amp; Etsy), Edith Cooper (Director, Etsy &amp; Slack), Barry McCarthy (Director/Former CFO, Spotify; Former CFO, Netflix)</v>
      </c>
      <c r="G504" s="60">
        <f>IFERROR(__xludf.DUMMYFUNCTION("""COMPUTED_VALUE"""),5.75E8)</f>
        <v>575000000</v>
      </c>
      <c r="H504" s="60" t="str">
        <f>IFERROR(__xludf.DUMMYFUNCTION("""COMPUTED_VALUE""")," ")</f>
        <v> </v>
      </c>
      <c r="I504" s="66" t="str">
        <f>IFERROR(__xludf.DUMMYFUNCTION("""COMPUTED_VALUE""")," ")</f>
        <v> </v>
      </c>
      <c r="J504" s="62" t="str">
        <f>IFERROR(__xludf.DUMMYFUNCTION("""COMPUTED_VALUE""")," ")</f>
        <v> </v>
      </c>
      <c r="K504" s="59">
        <f>IFERROR(__xludf.DUMMYFUNCTION("""COMPUTED_VALUE"""),10.3)</f>
        <v>10.3</v>
      </c>
      <c r="L504" s="87" t="str">
        <f>IFERROR(__xludf.DUMMYFUNCTION("""COMPUTED_VALUE""")," ")</f>
        <v> </v>
      </c>
      <c r="M504" s="64" t="str">
        <f>IFERROR(__xludf.DUMMYFUNCTION("""COMPUTED_VALUE"""),"U: [1/5 W]; W: [1:1, $11.5]")</f>
        <v>U: [1/5 W]; W: [1:1, $11.5]</v>
      </c>
      <c r="N504" s="65">
        <f>IFERROR(__xludf.DUMMYFUNCTION("""COMPUTED_VALUE"""),44331.0)</f>
        <v>44331</v>
      </c>
      <c r="O504" s="66" t="str">
        <f>IFERROR(__xludf.DUMMYFUNCTION("""COMPUTED_VALUE"""),"")</f>
        <v/>
      </c>
      <c r="P504" s="67">
        <f>IFERROR(__xludf.DUMMYFUNCTION("""COMPUTED_VALUE"""),44279.0)</f>
        <v>44279</v>
      </c>
      <c r="Q504" s="68">
        <f>IFERROR(__xludf.DUMMYFUNCTION("""COMPUTED_VALUE"""),575.0)</f>
        <v>575</v>
      </c>
      <c r="R504" s="69" t="str">
        <f>IFERROR(__xludf.DUMMYFUNCTION("""COMPUTED_VALUE"""),"Goldman Sachs &amp; Co. LLC, Morgan Stanley")</f>
        <v>Goldman Sachs &amp; Co. LLC, Morgan Stanley</v>
      </c>
      <c r="S504" s="64">
        <f>IFERROR(__xludf.DUMMYFUNCTION("""COMPUTED_VALUE"""),45009.0)</f>
        <v>45009</v>
      </c>
      <c r="T504" s="70">
        <f>IFERROR(__xludf.DUMMYFUNCTION("""COMPUTED_VALUE"""),0.023287671232876714)</f>
        <v>0.02328767123</v>
      </c>
      <c r="U504" s="71" t="str">
        <f>IFERROR(__xludf.DUMMYFUNCTION("""COMPUTED_VALUE"""),"https://www.sec.gov/cgi-bin/browse-edgar?CIK=1846996")</f>
        <v>https://www.sec.gov/cgi-bin/browse-edgar?CIK=1846996</v>
      </c>
      <c r="V504" s="72" t="str">
        <f>IFERROR(__xludf.DUMMYFUNCTION("""COMPUTED_VALUE"""),"   $500M+ Trust     Well-known Sponsor  Top Tier UW ")</f>
        <v>   $500M+ Trust     Well-known Sponsor  Top Tier UW </v>
      </c>
      <c r="W504" s="73"/>
      <c r="X504" s="74"/>
      <c r="Y504" s="75"/>
      <c r="Z504" s="60"/>
      <c r="AA504" s="60"/>
      <c r="AB504" s="60"/>
      <c r="AC504" s="60"/>
      <c r="AD504" s="73"/>
      <c r="AE504" s="73"/>
      <c r="AF504" s="76"/>
      <c r="AG504" s="60"/>
    </row>
    <row r="505">
      <c r="A505" s="54" t="str">
        <f>IFERROR(__xludf.DUMMYFUNCTION("""COMPUTED_VALUE"""),"MTAC")</f>
        <v>MTAC</v>
      </c>
      <c r="B505" s="55" t="str">
        <f>IFERROR(__xludf.DUMMYFUNCTION("""COMPUTED_VALUE"""),"MedTech Acquisition Corporation")</f>
        <v>MedTech Acquisition Corporation</v>
      </c>
      <c r="C505" s="56" t="str">
        <f>IFERROR(__xludf.DUMMYFUNCTION("""COMPUTED_VALUE"""),"Searching")</f>
        <v>Searching</v>
      </c>
      <c r="D505" s="57" t="str">
        <f>IFERROR(__xludf.DUMMYFUNCTION("""COMPUTED_VALUE"""),"Healthcare")</f>
        <v>Healthcare</v>
      </c>
      <c r="E505" s="58"/>
      <c r="F505" s="59" t="str">
        <f>IFERROR(__xludf.DUMMYFUNCTION("""COMPUTED_VALUE"""),"Karim Karti (Fmr CEO, GE Healthcare Imaging), Maurice R. Ferré, MD (Fmr CEO, MAKO Surgical Corp)")</f>
        <v>Karim Karti (Fmr CEO, GE Healthcare Imaging), Maurice R. Ferré, MD (Fmr CEO, MAKO Surgical Corp)</v>
      </c>
      <c r="G505" s="60">
        <f>IFERROR(__xludf.DUMMYFUNCTION("""COMPUTED_VALUE"""),2.5E8)</f>
        <v>250000000</v>
      </c>
      <c r="H505" s="60">
        <f>IFERROR(__xludf.DUMMYFUNCTION("""COMPUTED_VALUE"""),3.09375E8)</f>
        <v>309375000</v>
      </c>
      <c r="I505" s="66">
        <f>IFERROR(__xludf.DUMMYFUNCTION("""COMPUTED_VALUE"""),9.9)</f>
        <v>9.9</v>
      </c>
      <c r="J505" s="62">
        <f>IFERROR(__xludf.DUMMYFUNCTION("""COMPUTED_VALUE"""),0.00304)</f>
        <v>0.00304</v>
      </c>
      <c r="K505" s="59">
        <f>IFERROR(__xludf.DUMMYFUNCTION("""COMPUTED_VALUE"""),10.25)</f>
        <v>10.25</v>
      </c>
      <c r="L505" s="87">
        <f>IFERROR(__xludf.DUMMYFUNCTION("""COMPUTED_VALUE"""),1.11)</f>
        <v>1.11</v>
      </c>
      <c r="M505" s="64" t="str">
        <f>IFERROR(__xludf.DUMMYFUNCTION("""COMPUTED_VALUE"""),"U: [1/3 W]; W: [1:1, $11.5]")</f>
        <v>U: [1/3 W]; W: [1:1, $11.5]</v>
      </c>
      <c r="N505" s="65" t="str">
        <f>IFERROR(__xludf.DUMMYFUNCTION("""COMPUTED_VALUE"""),"")</f>
        <v/>
      </c>
      <c r="O505" s="66">
        <f>IFERROR(__xludf.DUMMYFUNCTION("""COMPUTED_VALUE"""),0.0)</f>
        <v>0</v>
      </c>
      <c r="P505" s="67">
        <f>IFERROR(__xludf.DUMMYFUNCTION("""COMPUTED_VALUE"""),44183.0)</f>
        <v>44183</v>
      </c>
      <c r="Q505" s="68">
        <f>IFERROR(__xludf.DUMMYFUNCTION("""COMPUTED_VALUE"""),250.0)</f>
        <v>250</v>
      </c>
      <c r="R505" s="85" t="str">
        <f>IFERROR(__xludf.DUMMYFUNCTION("""COMPUTED_VALUE"""),"Raymond James")</f>
        <v>Raymond James</v>
      </c>
      <c r="S505" s="64">
        <f>IFERROR(__xludf.DUMMYFUNCTION("""COMPUTED_VALUE"""),44913.0)</f>
        <v>44913</v>
      </c>
      <c r="T505" s="70">
        <f>IFERROR(__xludf.DUMMYFUNCTION("""COMPUTED_VALUE"""),0.1547945205479452)</f>
        <v>0.1547945205</v>
      </c>
      <c r="U505" s="71" t="str">
        <f>IFERROR(__xludf.DUMMYFUNCTION("""COMPUTED_VALUE"""),"https://www.sec.gov/cgi-bin/browse-edgar?CIK=1826667")</f>
        <v>https://www.sec.gov/cgi-bin/browse-edgar?CIK=1826667</v>
      </c>
      <c r="V505" s="72" t="str">
        <f>IFERROR(__xludf.DUMMYFUNCTION("""COMPUTED_VALUE"""),"Healthcare Trading Below $10 (Common)           ")</f>
        <v>Healthcare Trading Below $10 (Common)           </v>
      </c>
      <c r="W505" s="73"/>
      <c r="X505" s="74"/>
      <c r="Y505" s="75"/>
      <c r="Z505" s="60"/>
      <c r="AA505" s="60"/>
      <c r="AB505" s="60"/>
      <c r="AC505" s="60"/>
      <c r="AD505" s="73"/>
      <c r="AE505" s="73"/>
      <c r="AF505" s="76"/>
      <c r="AG505" s="60" t="str">
        <f>IFERROR(__xludf.DUMMYFUNCTION("""COMPUTED_VALUE"""),"")</f>
        <v/>
      </c>
    </row>
    <row r="506">
      <c r="A506" s="54" t="str">
        <f>IFERROR(__xludf.DUMMYFUNCTION("""COMPUTED_VALUE"""),"MUDS")</f>
        <v>MUDS</v>
      </c>
      <c r="B506" s="55" t="str">
        <f>IFERROR(__xludf.DUMMYFUNCTION("""COMPUTED_VALUE"""),"Mudrick Capital Acquisition Corporation II")</f>
        <v>Mudrick Capital Acquisition Corporation II</v>
      </c>
      <c r="C506" s="56" t="str">
        <f>IFERROR(__xludf.DUMMYFUNCTION("""COMPUTED_VALUE"""),"Definitive Agreement")</f>
        <v>Definitive Agreement</v>
      </c>
      <c r="D506" s="57"/>
      <c r="E506" s="58" t="str">
        <f>IFERROR(__xludf.DUMMYFUNCTION("""COMPUTED_VALUE"""),"The Topps Company [DA: 04/06/21]")</f>
        <v>The Topps Company [DA: 04/06/21]</v>
      </c>
      <c r="F506" s="59" t="str">
        <f>IFERROR(__xludf.DUMMYFUNCTION("""COMPUTED_VALUE"""),"Jason Mudrick (Founder, Mudrick Capital Management)")</f>
        <v>Jason Mudrick (Founder, Mudrick Capital Management)</v>
      </c>
      <c r="G506" s="60">
        <f>IFERROR(__xludf.DUMMYFUNCTION("""COMPUTED_VALUE"""),3.21002166E8)</f>
        <v>321002166</v>
      </c>
      <c r="H506" s="60">
        <f>IFERROR(__xludf.DUMMYFUNCTION("""COMPUTED_VALUE"""),3.4313125E8)</f>
        <v>343131250</v>
      </c>
      <c r="I506" s="66">
        <f>IFERROR(__xludf.DUMMYFUNCTION("""COMPUTED_VALUE"""),10.85)</f>
        <v>10.85</v>
      </c>
      <c r="J506" s="62">
        <f>IFERROR(__xludf.DUMMYFUNCTION("""COMPUTED_VALUE"""),0.01497)</f>
        <v>0.01497</v>
      </c>
      <c r="K506" s="59">
        <f>IFERROR(__xludf.DUMMYFUNCTION("""COMPUTED_VALUE"""),11.92)</f>
        <v>11.92</v>
      </c>
      <c r="L506" s="87">
        <f>IFERROR(__xludf.DUMMYFUNCTION("""COMPUTED_VALUE"""),2.16)</f>
        <v>2.16</v>
      </c>
      <c r="M506" s="64" t="str">
        <f>IFERROR(__xludf.DUMMYFUNCTION("""COMPUTED_VALUE"""),"U: [1/2 W]; W: [1:1, $11.5]")</f>
        <v>U: [1/2 W]; W: [1:1, $11.5]</v>
      </c>
      <c r="N506" s="65" t="str">
        <f>IFERROR(__xludf.DUMMYFUNCTION("""COMPUTED_VALUE"""),"")</f>
        <v/>
      </c>
      <c r="O506" s="66">
        <f>IFERROR(__xludf.DUMMYFUNCTION("""COMPUTED_VALUE"""),0.0)</f>
        <v>0</v>
      </c>
      <c r="P506" s="67">
        <f>IFERROR(__xludf.DUMMYFUNCTION("""COMPUTED_VALUE"""),44173.0)</f>
        <v>44173</v>
      </c>
      <c r="Q506" s="68">
        <f>IFERROR(__xludf.DUMMYFUNCTION("""COMPUTED_VALUE"""),320.99375)</f>
        <v>320.99375</v>
      </c>
      <c r="R506" s="85" t="str">
        <f>IFERROR(__xludf.DUMMYFUNCTION("""COMPUTED_VALUE"""),"Jefferies")</f>
        <v>Jefferies</v>
      </c>
      <c r="S506" s="64">
        <f>IFERROR(__xludf.DUMMYFUNCTION("""COMPUTED_VALUE"""),44903.0)</f>
        <v>44903</v>
      </c>
      <c r="T506" s="70">
        <f>IFERROR(__xludf.DUMMYFUNCTION("""COMPUTED_VALUE"""),0.1684931506849315)</f>
        <v>0.1684931507</v>
      </c>
      <c r="U506" s="71" t="str">
        <f>IFERROR(__xludf.DUMMYFUNCTION("""COMPUTED_VALUE"""),"https://www.sec.gov/cgi-bin/browse-edgar?CIK=1820727")</f>
        <v>https://www.sec.gov/cgi-bin/browse-edgar?CIK=1820727</v>
      </c>
      <c r="V506" s="72" t="str">
        <f>IFERROR(__xludf.DUMMYFUNCTION("""COMPUTED_VALUE"""),"     Optionable       ")</f>
        <v>     Optionable       </v>
      </c>
      <c r="W506" s="73">
        <f>IFERROR(__xludf.DUMMYFUNCTION("""COMPUTED_VALUE"""),44292.0)</f>
        <v>44292</v>
      </c>
      <c r="X506" s="79">
        <f>IFERROR(__xludf.DUMMYFUNCTION("""COMPUTED_VALUE"""),3.966666666666667)</f>
        <v>3.966666667</v>
      </c>
      <c r="Y506" s="80" t="str">
        <f>IFERROR(__xludf.DUMMYFUNCTION("""COMPUTED_VALUE"""),"https://www.sec.gov/Archives/edgar/data/1820727/000110465921046856/tm2112182d1_ex99-1.htm")</f>
        <v>https://www.sec.gov/Archives/edgar/data/1820727/000110465921046856/tm2112182d1_ex99-1.htm</v>
      </c>
      <c r="Z506" s="81" t="str">
        <f>IFERROR(__xludf.DUMMYFUNCTION("""COMPUTED_VALUE"""),"https://www.sec.gov/Archives/edgar/data/1820727/000110465921046856/tm2112182d1_ex99-2.htm")</f>
        <v>https://www.sec.gov/Archives/edgar/data/1820727/000110465921046856/tm2112182d1_ex99-2.htm</v>
      </c>
      <c r="AA506" s="60">
        <f>IFERROR(__xludf.DUMMYFUNCTION("""COMPUTED_VALUE"""),2.5E8)</f>
        <v>250000000</v>
      </c>
      <c r="AB506" s="60">
        <f>IFERROR(__xludf.DUMMYFUNCTION("""COMPUTED_VALUE"""),1.163E9)</f>
        <v>1163000000</v>
      </c>
      <c r="AC506" s="60">
        <f>IFERROR(__xludf.DUMMYFUNCTION("""COMPUTED_VALUE"""),1.307E9)</f>
        <v>1307000000</v>
      </c>
      <c r="AD506" s="73"/>
      <c r="AE506" s="73"/>
      <c r="AF506" s="76">
        <f>IFERROR(__xludf.DUMMYFUNCTION("""COMPUTED_VALUE"""),1.163E8)</f>
        <v>116300000</v>
      </c>
      <c r="AG506" s="60">
        <f>IFERROR(__xludf.DUMMYFUNCTION("""COMPUTED_VALUE"""),1.261855E9)</f>
        <v>1261855000</v>
      </c>
    </row>
    <row r="507">
      <c r="A507" s="54" t="str">
        <f>IFERROR(__xludf.DUMMYFUNCTION("""COMPUTED_VALUE"""),"NAAC")</f>
        <v>NAAC</v>
      </c>
      <c r="B507" s="55" t="str">
        <f>IFERROR(__xludf.DUMMYFUNCTION("""COMPUTED_VALUE"""),"North Atlantic Acquisition Corporation")</f>
        <v>North Atlantic Acquisition Corporation</v>
      </c>
      <c r="C507" s="56" t="str">
        <f>IFERROR(__xludf.DUMMYFUNCTION("""COMPUTED_VALUE"""),"Searching")</f>
        <v>Searching</v>
      </c>
      <c r="D507" s="57" t="str">
        <f>IFERROR(__xludf.DUMMYFUNCTION("""COMPUTED_VALUE"""),"Europe / North America, Consumer, Industrials, Telecom")</f>
        <v>Europe / North America, Consumer, Industrials, Telecom</v>
      </c>
      <c r="E507" s="58"/>
      <c r="F507" s="59"/>
      <c r="G507" s="60">
        <f>IFERROR(__xludf.DUMMYFUNCTION("""COMPUTED_VALUE"""),3.795E8)</f>
        <v>379500000</v>
      </c>
      <c r="H507" s="60">
        <f>IFERROR(__xludf.DUMMYFUNCTION("""COMPUTED_VALUE"""),3.72669E8)</f>
        <v>372669000</v>
      </c>
      <c r="I507" s="66">
        <f>IFERROR(__xludf.DUMMYFUNCTION("""COMPUTED_VALUE"""),9.82)</f>
        <v>9.82</v>
      </c>
      <c r="J507" s="62">
        <f>IFERROR(__xludf.DUMMYFUNCTION("""COMPUTED_VALUE"""),0.00615)</f>
        <v>0.00615</v>
      </c>
      <c r="K507" s="59">
        <f>IFERROR(__xludf.DUMMYFUNCTION("""COMPUTED_VALUE"""),9.9995)</f>
        <v>9.9995</v>
      </c>
      <c r="L507" s="87">
        <f>IFERROR(__xludf.DUMMYFUNCTION("""COMPUTED_VALUE"""),0.75)</f>
        <v>0.75</v>
      </c>
      <c r="M507" s="64" t="str">
        <f>IFERROR(__xludf.DUMMYFUNCTION("""COMPUTED_VALUE"""),"U: [1/3 W]; W: [1:1, $11.5]")</f>
        <v>U: [1/3 W]; W: [1:1, $11.5]</v>
      </c>
      <c r="N507" s="65" t="str">
        <f>IFERROR(__xludf.DUMMYFUNCTION("""COMPUTED_VALUE"""),"")</f>
        <v/>
      </c>
      <c r="O507" s="66">
        <f>IFERROR(__xludf.DUMMYFUNCTION("""COMPUTED_VALUE"""),0.0)</f>
        <v>0</v>
      </c>
      <c r="P507" s="67">
        <f>IFERROR(__xludf.DUMMYFUNCTION("""COMPUTED_VALUE"""),44218.0)</f>
        <v>44218</v>
      </c>
      <c r="Q507" s="68">
        <f>IFERROR(__xludf.DUMMYFUNCTION("""COMPUTED_VALUE"""),379.5)</f>
        <v>379.5</v>
      </c>
      <c r="R507" s="85" t="str">
        <f>IFERROR(__xludf.DUMMYFUNCTION("""COMPUTED_VALUE"""),"Wells Fargo Securities")</f>
        <v>Wells Fargo Securities</v>
      </c>
      <c r="S507" s="64">
        <f>IFERROR(__xludf.DUMMYFUNCTION("""COMPUTED_VALUE"""),44948.0)</f>
        <v>44948</v>
      </c>
      <c r="T507" s="70">
        <f>IFERROR(__xludf.DUMMYFUNCTION("""COMPUTED_VALUE"""),0.10684931506849316)</f>
        <v>0.1068493151</v>
      </c>
      <c r="U507" s="71" t="str">
        <f>IFERROR(__xludf.DUMMYFUNCTION("""COMPUTED_VALUE"""),"https://www.sec.gov/cgi-bin/browse-edgar?CIK=1830063")</f>
        <v>https://www.sec.gov/cgi-bin/browse-edgar?CIK=1830063</v>
      </c>
      <c r="V507" s="72" t="str">
        <f>IFERROR(__xludf.DUMMYFUNCTION("""COMPUTED_VALUE""")," Trading Below $10 (Common)           ")</f>
        <v> Trading Below $10 (Common)           </v>
      </c>
      <c r="W507" s="73"/>
      <c r="X507" s="74"/>
      <c r="Y507" s="75"/>
      <c r="Z507" s="60"/>
      <c r="AA507" s="60"/>
      <c r="AB507" s="60"/>
      <c r="AC507" s="60"/>
      <c r="AD507" s="73"/>
      <c r="AE507" s="73"/>
      <c r="AF507" s="76"/>
      <c r="AG507" s="60" t="str">
        <f>IFERROR(__xludf.DUMMYFUNCTION("""COMPUTED_VALUE"""),"")</f>
        <v/>
      </c>
    </row>
    <row r="508">
      <c r="A508" s="54" t="str">
        <f>IFERROR(__xludf.DUMMYFUNCTION("""COMPUTED_VALUE"""),"NBA")</f>
        <v>NBA</v>
      </c>
      <c r="B508" s="55" t="str">
        <f>IFERROR(__xludf.DUMMYFUNCTION("""COMPUTED_VALUE"""),"New Beginnings Acquisition Corp.")</f>
        <v>New Beginnings Acquisition Corp.</v>
      </c>
      <c r="C508" s="56" t="str">
        <f>IFERROR(__xludf.DUMMYFUNCTION("""COMPUTED_VALUE"""),"Definitive Agreement")</f>
        <v>Definitive Agreement</v>
      </c>
      <c r="D508" s="57"/>
      <c r="E508" s="58" t="str">
        <f>IFERROR(__xludf.DUMMYFUNCTION("""COMPUTED_VALUE"""),"Airspan Networks [DA: 03/08/21]")</f>
        <v>Airspan Networks [DA: 03/08/21]</v>
      </c>
      <c r="F508" s="59" t="str">
        <f>IFERROR(__xludf.DUMMYFUNCTION("""COMPUTED_VALUE"""),"Russell W. Galbut (MP, Crescent Heights; Chairman, Norwegian Cruise Line)")</f>
        <v>Russell W. Galbut (MP, Crescent Heights; Chairman, Norwegian Cruise Line)</v>
      </c>
      <c r="G508" s="60">
        <f>IFERROR(__xludf.DUMMYFUNCTION("""COMPUTED_VALUE"""),1.01E8)</f>
        <v>101000000</v>
      </c>
      <c r="H508" s="60">
        <f>IFERROR(__xludf.DUMMYFUNCTION("""COMPUTED_VALUE"""),1.515126E8)</f>
        <v>151512600</v>
      </c>
      <c r="I508" s="66">
        <f>IFERROR(__xludf.DUMMYFUNCTION("""COMPUTED_VALUE"""),10.155)</f>
        <v>10.155</v>
      </c>
      <c r="J508" s="62">
        <f>IFERROR(__xludf.DUMMYFUNCTION("""COMPUTED_VALUE"""),0.00844)</f>
        <v>0.00844</v>
      </c>
      <c r="K508" s="59">
        <f>IFERROR(__xludf.DUMMYFUNCTION("""COMPUTED_VALUE"""),11.02)</f>
        <v>11.02</v>
      </c>
      <c r="L508" s="87">
        <f>IFERROR(__xludf.DUMMYFUNCTION("""COMPUTED_VALUE"""),0.84)</f>
        <v>0.84</v>
      </c>
      <c r="M508" s="64" t="str">
        <f>IFERROR(__xludf.DUMMYFUNCTION("""COMPUTED_VALUE"""),"U: [1 W]; W: [1:1, $11.5]")</f>
        <v>U: [1 W]; W: [1:1, $11.5]</v>
      </c>
      <c r="N508" s="65" t="str">
        <f>IFERROR(__xludf.DUMMYFUNCTION("""COMPUTED_VALUE"""),"")</f>
        <v/>
      </c>
      <c r="O508" s="66">
        <f>IFERROR(__xludf.DUMMYFUNCTION("""COMPUTED_VALUE"""),0.0)</f>
        <v>0</v>
      </c>
      <c r="P508" s="67">
        <f>IFERROR(__xludf.DUMMYFUNCTION("""COMPUTED_VALUE"""),44133.0)</f>
        <v>44133</v>
      </c>
      <c r="Q508" s="68">
        <f>IFERROR(__xludf.DUMMYFUNCTION("""COMPUTED_VALUE"""),101.0)</f>
        <v>101</v>
      </c>
      <c r="R508" s="69" t="str">
        <f>IFERROR(__xludf.DUMMYFUNCTION("""COMPUTED_VALUE"""),"Ladenburg Thalmann")</f>
        <v>Ladenburg Thalmann</v>
      </c>
      <c r="S508" s="64">
        <f>IFERROR(__xludf.DUMMYFUNCTION("""COMPUTED_VALUE"""),44863.0)</f>
        <v>44863</v>
      </c>
      <c r="T508" s="70">
        <f>IFERROR(__xludf.DUMMYFUNCTION("""COMPUTED_VALUE"""),0.2232876712328767)</f>
        <v>0.2232876712</v>
      </c>
      <c r="U508" s="71" t="str">
        <f>IFERROR(__xludf.DUMMYFUNCTION("""COMPUTED_VALUE"""),"https://www.sec.gov/cgi-bin/browse-edgar?CIK=1823882")</f>
        <v>https://www.sec.gov/cgi-bin/browse-edgar?CIK=1823882</v>
      </c>
      <c r="V508" s="72" t="str">
        <f>IFERROR(__xludf.DUMMYFUNCTION("""COMPUTED_VALUE"""),"          Serial Sponsor  ")</f>
        <v>          Serial Sponsor  </v>
      </c>
      <c r="W508" s="73">
        <f>IFERROR(__xludf.DUMMYFUNCTION("""COMPUTED_VALUE"""),44263.0)</f>
        <v>44263</v>
      </c>
      <c r="X508" s="79">
        <f>IFERROR(__xludf.DUMMYFUNCTION("""COMPUTED_VALUE"""),4.333333333333333)</f>
        <v>4.333333333</v>
      </c>
      <c r="Y508" s="80" t="str">
        <f>IFERROR(__xludf.DUMMYFUNCTION("""COMPUTED_VALUE"""),"https://www.businesswire.com/news/home/20210308005248/en/Airspan-Networks-a-Leading-5G-Technology-Company-to-Go-Public-through-Merger-with-New-Beginnings-Acquisition-Corp.-NYSE-American-NBA#.YEYK9C3Et24.twitter")</f>
        <v>https://www.businesswire.com/news/home/20210308005248/en/Airspan-Networks-a-Leading-5G-Technology-Company-to-Go-Public-through-Merger-with-New-Beginnings-Acquisition-Corp.-NYSE-American-NBA#.YEYK9C3Et24.twitter</v>
      </c>
      <c r="Z508" s="81" t="str">
        <f>IFERROR(__xludf.DUMMYFUNCTION("""COMPUTED_VALUE"""),"https://www.sec.gov/Archives/edgar/data/1823882/000182912621001274/newbeginnings_ex99-2.htm")</f>
        <v>https://www.sec.gov/Archives/edgar/data/1823882/000182912621001274/newbeginnings_ex99-2.htm</v>
      </c>
      <c r="AA508" s="60">
        <f>IFERROR(__xludf.DUMMYFUNCTION("""COMPUTED_VALUE"""),7.5E7)</f>
        <v>75000000</v>
      </c>
      <c r="AB508" s="60">
        <f>IFERROR(__xludf.DUMMYFUNCTION("""COMPUTED_VALUE"""),8.96E8)</f>
        <v>896000000</v>
      </c>
      <c r="AC508" s="60">
        <f>IFERROR(__xludf.DUMMYFUNCTION("""COMPUTED_VALUE"""),8.22E8)</f>
        <v>822000000</v>
      </c>
      <c r="AD508" s="73"/>
      <c r="AE508" s="73"/>
      <c r="AF508" s="76">
        <f>IFERROR(__xludf.DUMMYFUNCTION("""COMPUTED_VALUE"""),8.96E7)</f>
        <v>89600000</v>
      </c>
      <c r="AG508" s="60">
        <f>IFERROR(__xludf.DUMMYFUNCTION("""COMPUTED_VALUE"""),9.09888E8)</f>
        <v>909888000</v>
      </c>
    </row>
    <row r="509">
      <c r="A509" s="88" t="str">
        <f>IFERROR(__xludf.DUMMYFUNCTION("""COMPUTED_VALUE"""),"NBAB")</f>
        <v>NBAB</v>
      </c>
      <c r="B509" s="55" t="str">
        <f>IFERROR(__xludf.DUMMYFUNCTION("""COMPUTED_VALUE"""),"New Beginnings Acquisition Corp. II")</f>
        <v>New Beginnings Acquisition Corp. II</v>
      </c>
      <c r="C509" s="56" t="str">
        <f>IFERROR(__xludf.DUMMYFUNCTION("""COMPUTED_VALUE"""),"Pre IPO")</f>
        <v>Pre IPO</v>
      </c>
      <c r="D509" s="57" t="str">
        <f>IFERROR(__xludf.DUMMYFUNCTION("""COMPUTED_VALUE"""),"Travel, Hospitality, Leisure, Fintech, InsurTech, Proptech (US)")</f>
        <v>Travel, Hospitality, Leisure, Fintech, InsurTech, Proptech (US)</v>
      </c>
      <c r="E509" s="58"/>
      <c r="F509" s="59"/>
      <c r="G509" s="60">
        <f>IFERROR(__xludf.DUMMYFUNCTION("""COMPUTED_VALUE"""),1.0E8)</f>
        <v>100000000</v>
      </c>
      <c r="H509" s="60" t="str">
        <f>IFERROR(__xludf.DUMMYFUNCTION("""COMPUTED_VALUE""")," ")</f>
        <v> </v>
      </c>
      <c r="I509" s="66" t="str">
        <f>IFERROR(__xludf.DUMMYFUNCTION("""COMPUTED_VALUE""")," ")</f>
        <v> </v>
      </c>
      <c r="J509" s="62" t="str">
        <f>IFERROR(__xludf.DUMMYFUNCTION("""COMPUTED_VALUE""")," ")</f>
        <v> </v>
      </c>
      <c r="K509" s="59" t="str">
        <f>IFERROR(__xludf.DUMMYFUNCTION("""COMPUTED_VALUE""")," ")</f>
        <v> </v>
      </c>
      <c r="L509" s="87" t="str">
        <f>IFERROR(__xludf.DUMMYFUNCTION("""COMPUTED_VALUE""")," ")</f>
        <v> </v>
      </c>
      <c r="M509" s="64" t="str">
        <f>IFERROR(__xludf.DUMMYFUNCTION("""COMPUTED_VALUE"""),"U: [1/2 W]; W: [1:1, $11.5]")</f>
        <v>U: [1/2 W]; W: [1:1, $11.5]</v>
      </c>
      <c r="N509" s="65" t="str">
        <f>IFERROR(__xludf.DUMMYFUNCTION("""COMPUTED_VALUE"""),"")</f>
        <v/>
      </c>
      <c r="O509" s="66">
        <f>IFERROR(__xludf.DUMMYFUNCTION("""COMPUTED_VALUE"""),0.0)</f>
        <v>0</v>
      </c>
      <c r="P509" s="67"/>
      <c r="Q509" s="68">
        <f>IFERROR(__xludf.DUMMYFUNCTION("""COMPUTED_VALUE"""),100.0)</f>
        <v>100</v>
      </c>
      <c r="R509" s="69" t="str">
        <f>IFERROR(__xludf.DUMMYFUNCTION("""COMPUTED_VALUE"""),"Ladenburg Thalmann")</f>
        <v>Ladenburg Thalmann</v>
      </c>
      <c r="S509" s="64">
        <f>IFERROR(__xludf.DUMMYFUNCTION("""COMPUTED_VALUE"""),45086.0)</f>
        <v>45086</v>
      </c>
      <c r="T509" s="70" t="str">
        <f>IFERROR(__xludf.DUMMYFUNCTION("""COMPUTED_VALUE"""),"")</f>
        <v/>
      </c>
      <c r="U509" s="71" t="str">
        <f>IFERROR(__xludf.DUMMYFUNCTION("""COMPUTED_VALUE"""),"https://www.sec.gov/cgi-bin/browse-edgar?CIK=1847890")</f>
        <v>https://www.sec.gov/cgi-bin/browse-edgar?CIK=1847890</v>
      </c>
      <c r="V509" s="72" t="str">
        <f>IFERROR(__xludf.DUMMYFUNCTION("""COMPUTED_VALUE"""),"          Serial Sponsor  ")</f>
        <v>          Serial Sponsor  </v>
      </c>
      <c r="W509" s="73"/>
      <c r="X509" s="74"/>
      <c r="Y509" s="75"/>
      <c r="Z509" s="60"/>
      <c r="AA509" s="60"/>
      <c r="AB509" s="60"/>
      <c r="AC509" s="60"/>
      <c r="AD509" s="73"/>
      <c r="AE509" s="73"/>
      <c r="AF509" s="76"/>
      <c r="AG509" s="60"/>
    </row>
    <row r="510">
      <c r="A510" s="88" t="str">
        <f>IFERROR(__xludf.DUMMYFUNCTION("""COMPUTED_VALUE"""),"NBAD")</f>
        <v>NBAD</v>
      </c>
      <c r="B510" s="55" t="str">
        <f>IFERROR(__xludf.DUMMYFUNCTION("""COMPUTED_VALUE"""),"New Beginnings Acquisition Corp. III")</f>
        <v>New Beginnings Acquisition Corp. III</v>
      </c>
      <c r="C510" s="56" t="str">
        <f>IFERROR(__xludf.DUMMYFUNCTION("""COMPUTED_VALUE"""),"Pre IPO")</f>
        <v>Pre IPO</v>
      </c>
      <c r="D510" s="57" t="str">
        <f>IFERROR(__xludf.DUMMYFUNCTION("""COMPUTED_VALUE"""),"Travel, Hospitality, Leisure, Fintech, InsurTech, Proptech (Outside of US)")</f>
        <v>Travel, Hospitality, Leisure, Fintech, InsurTech, Proptech (Outside of US)</v>
      </c>
      <c r="E510" s="58"/>
      <c r="F510" s="59"/>
      <c r="G510" s="60">
        <f>IFERROR(__xludf.DUMMYFUNCTION("""COMPUTED_VALUE"""),1.0E8)</f>
        <v>100000000</v>
      </c>
      <c r="H510" s="60" t="str">
        <f>IFERROR(__xludf.DUMMYFUNCTION("""COMPUTED_VALUE""")," ")</f>
        <v> </v>
      </c>
      <c r="I510" s="66" t="str">
        <f>IFERROR(__xludf.DUMMYFUNCTION("""COMPUTED_VALUE""")," ")</f>
        <v> </v>
      </c>
      <c r="J510" s="62" t="str">
        <f>IFERROR(__xludf.DUMMYFUNCTION("""COMPUTED_VALUE""")," ")</f>
        <v> </v>
      </c>
      <c r="K510" s="59" t="str">
        <f>IFERROR(__xludf.DUMMYFUNCTION("""COMPUTED_VALUE""")," ")</f>
        <v> </v>
      </c>
      <c r="L510" s="87" t="str">
        <f>IFERROR(__xludf.DUMMYFUNCTION("""COMPUTED_VALUE""")," ")</f>
        <v> </v>
      </c>
      <c r="M510" s="64" t="str">
        <f>IFERROR(__xludf.DUMMYFUNCTION("""COMPUTED_VALUE"""),"U: [1/2 W]; W: [1:1, $11.5]")</f>
        <v>U: [1/2 W]; W: [1:1, $11.5]</v>
      </c>
      <c r="N510" s="65" t="str">
        <f>IFERROR(__xludf.DUMMYFUNCTION("""COMPUTED_VALUE"""),"")</f>
        <v/>
      </c>
      <c r="O510" s="66">
        <f>IFERROR(__xludf.DUMMYFUNCTION("""COMPUTED_VALUE"""),0.0)</f>
        <v>0</v>
      </c>
      <c r="P510" s="67"/>
      <c r="Q510" s="68">
        <f>IFERROR(__xludf.DUMMYFUNCTION("""COMPUTED_VALUE"""),100.0)</f>
        <v>100</v>
      </c>
      <c r="R510" s="69" t="str">
        <f>IFERROR(__xludf.DUMMYFUNCTION("""COMPUTED_VALUE"""),"Ladenburg Thalmann")</f>
        <v>Ladenburg Thalmann</v>
      </c>
      <c r="S510" s="64">
        <f>IFERROR(__xludf.DUMMYFUNCTION("""COMPUTED_VALUE"""),45086.0)</f>
        <v>45086</v>
      </c>
      <c r="T510" s="70" t="str">
        <f>IFERROR(__xludf.DUMMYFUNCTION("""COMPUTED_VALUE"""),"")</f>
        <v/>
      </c>
      <c r="U510" s="71" t="str">
        <f>IFERROR(__xludf.DUMMYFUNCTION("""COMPUTED_VALUE"""),"https://www.sec.gov/cgi-bin/browse-edgar?CIK=1847888")</f>
        <v>https://www.sec.gov/cgi-bin/browse-edgar?CIK=1847888</v>
      </c>
      <c r="V510" s="72" t="str">
        <f>IFERROR(__xludf.DUMMYFUNCTION("""COMPUTED_VALUE"""),"          Serial Sponsor  ")</f>
        <v>          Serial Sponsor  </v>
      </c>
      <c r="W510" s="73"/>
      <c r="X510" s="74"/>
      <c r="Y510" s="75"/>
      <c r="Z510" s="60"/>
      <c r="AA510" s="60"/>
      <c r="AB510" s="60"/>
      <c r="AC510" s="60"/>
      <c r="AD510" s="73"/>
      <c r="AE510" s="73"/>
      <c r="AF510" s="76"/>
      <c r="AG510" s="60"/>
    </row>
    <row r="511">
      <c r="A511" s="54" t="str">
        <f>IFERROR(__xludf.DUMMYFUNCTION("""COMPUTED_VALUE"""),"NBST")</f>
        <v>NBST</v>
      </c>
      <c r="B511" s="55" t="str">
        <f>IFERROR(__xludf.DUMMYFUNCTION("""COMPUTED_VALUE"""),"Newbury Street Acquisition Corporation")</f>
        <v>Newbury Street Acquisition Corporation</v>
      </c>
      <c r="C511" s="56" t="str">
        <f>IFERROR(__xludf.DUMMYFUNCTION("""COMPUTED_VALUE"""),"Searching (Pre Unit Split)")</f>
        <v>Searching (Pre Unit Split)</v>
      </c>
      <c r="D511" s="77" t="str">
        <f>IFERROR(__xludf.DUMMYFUNCTION("""COMPUTED_VALUE"""),"Tech in Consumer Internet/ Media (incl. sports &amp; entertainment)")</f>
        <v>Tech in Consumer Internet/ Media (incl. sports &amp; entertainment)</v>
      </c>
      <c r="E511" s="58"/>
      <c r="F511" s="59" t="str">
        <f>IFERROR(__xludf.DUMMYFUNCTION("""COMPUTED_VALUE"""),"Matthew Hong (Fmr COO, Turner Sports), Teddy Zee (Film Producer: Pursuit of Happyness, Hitch), Kenneth Ng (Founder, Ark Pacific; CEO, MLAC SPAC)")</f>
        <v>Matthew Hong (Fmr COO, Turner Sports), Teddy Zee (Film Producer: Pursuit of Happyness, Hitch), Kenneth Ng (Founder, Ark Pacific; CEO, MLAC SPAC)</v>
      </c>
      <c r="G511" s="60">
        <f>IFERROR(__xludf.DUMMYFUNCTION("""COMPUTED_VALUE"""),1.2E8)</f>
        <v>120000000</v>
      </c>
      <c r="H511" s="60" t="str">
        <f>IFERROR(__xludf.DUMMYFUNCTION("""COMPUTED_VALUE""")," ")</f>
        <v> </v>
      </c>
      <c r="I511" s="66" t="str">
        <f>IFERROR(__xludf.DUMMYFUNCTION("""COMPUTED_VALUE""")," ")</f>
        <v> </v>
      </c>
      <c r="J511" s="62" t="str">
        <f>IFERROR(__xludf.DUMMYFUNCTION("""COMPUTED_VALUE""")," ")</f>
        <v> </v>
      </c>
      <c r="K511" s="59">
        <f>IFERROR(__xludf.DUMMYFUNCTION("""COMPUTED_VALUE"""),9.945)</f>
        <v>9.945</v>
      </c>
      <c r="L511" s="87" t="str">
        <f>IFERROR(__xludf.DUMMYFUNCTION("""COMPUTED_VALUE""")," ")</f>
        <v> </v>
      </c>
      <c r="M511" s="64" t="str">
        <f>IFERROR(__xludf.DUMMYFUNCTION("""COMPUTED_VALUE"""),"U: [1/2 W]; W: [1:1, $11.5]")</f>
        <v>U: [1/2 W]; W: [1:1, $11.5]</v>
      </c>
      <c r="N511" s="65">
        <f>IFERROR(__xludf.DUMMYFUNCTION("""COMPUTED_VALUE"""),44367.0)</f>
        <v>44367</v>
      </c>
      <c r="O511" s="66" t="str">
        <f>IFERROR(__xludf.DUMMYFUNCTION("""COMPUTED_VALUE"""),"")</f>
        <v/>
      </c>
      <c r="P511" s="67">
        <f>IFERROR(__xludf.DUMMYFUNCTION("""COMPUTED_VALUE"""),44277.0)</f>
        <v>44277</v>
      </c>
      <c r="Q511" s="68">
        <f>IFERROR(__xludf.DUMMYFUNCTION("""COMPUTED_VALUE"""),120.0)</f>
        <v>120</v>
      </c>
      <c r="R511" s="85" t="str">
        <f>IFERROR(__xludf.DUMMYFUNCTION("""COMPUTED_VALUE"""),"EarlyBirdCapital, Inc.")</f>
        <v>EarlyBirdCapital, Inc.</v>
      </c>
      <c r="S511" s="64">
        <f>IFERROR(__xludf.DUMMYFUNCTION("""COMPUTED_VALUE"""),45007.0)</f>
        <v>45007</v>
      </c>
      <c r="T511" s="70">
        <f>IFERROR(__xludf.DUMMYFUNCTION("""COMPUTED_VALUE"""),0.026027397260273973)</f>
        <v>0.02602739726</v>
      </c>
      <c r="U511" s="71" t="str">
        <f>IFERROR(__xludf.DUMMYFUNCTION("""COMPUTED_VALUE"""),"https://www.sec.gov/cgi-bin/browse-edgar?CIK=1831978")</f>
        <v>https://www.sec.gov/cgi-bin/browse-edgar?CIK=1831978</v>
      </c>
      <c r="V511" s="72" t="str">
        <f>IFERROR(__xludf.DUMMYFUNCTION("""COMPUTED_VALUE"""),"            ")</f>
        <v>            </v>
      </c>
      <c r="W511" s="73"/>
      <c r="X511" s="74"/>
      <c r="Y511" s="75"/>
      <c r="Z511" s="60"/>
      <c r="AA511" s="60"/>
      <c r="AB511" s="60"/>
      <c r="AC511" s="60"/>
      <c r="AD511" s="73"/>
      <c r="AE511" s="73"/>
      <c r="AF511" s="76"/>
      <c r="AG511" s="60" t="str">
        <f>IFERROR(__xludf.DUMMYFUNCTION("""COMPUTED_VALUE"""),"")</f>
        <v/>
      </c>
    </row>
    <row r="512">
      <c r="A512" s="88" t="str">
        <f>IFERROR(__xludf.DUMMYFUNCTION("""COMPUTED_VALUE"""),"NCAC")</f>
        <v>NCAC</v>
      </c>
      <c r="B512" s="55" t="str">
        <f>IFERROR(__xludf.DUMMYFUNCTION("""COMPUTED_VALUE"""),"Newcourt Acquisition Corp")</f>
        <v>Newcourt Acquisition Corp</v>
      </c>
      <c r="C512" s="56" t="str">
        <f>IFERROR(__xludf.DUMMYFUNCTION("""COMPUTED_VALUE"""),"Pre IPO")</f>
        <v>Pre IPO</v>
      </c>
      <c r="D512" s="77" t="str">
        <f>IFERROR(__xludf.DUMMYFUNCTION("""COMPUTED_VALUE"""),"Fintech with exposure to emerging markets")</f>
        <v>Fintech with exposure to emerging markets</v>
      </c>
      <c r="E512" s="58"/>
      <c r="F512" s="59" t="str">
        <f>IFERROR(__xludf.DUMMYFUNCTION("""COMPUTED_VALUE"""),"Michael Jordaan (Former CEO of First National Bank, CEO of Montegray Capital, and Chairman of Bank Zero), Ryan Gilbert (General Partner at Propel Venture Partners)")</f>
        <v>Michael Jordaan (Former CEO of First National Bank, CEO of Montegray Capital, and Chairman of Bank Zero), Ryan Gilbert (General Partner at Propel Venture Partners)</v>
      </c>
      <c r="G512" s="60">
        <f>IFERROR(__xludf.DUMMYFUNCTION("""COMPUTED_VALUE"""),2.0E8)</f>
        <v>200000000</v>
      </c>
      <c r="H512" s="60" t="str">
        <f>IFERROR(__xludf.DUMMYFUNCTION("""COMPUTED_VALUE""")," ")</f>
        <v> </v>
      </c>
      <c r="I512" s="66" t="str">
        <f>IFERROR(__xludf.DUMMYFUNCTION("""COMPUTED_VALUE""")," ")</f>
        <v> </v>
      </c>
      <c r="J512" s="62" t="str">
        <f>IFERROR(__xludf.DUMMYFUNCTION("""COMPUTED_VALUE""")," ")</f>
        <v> </v>
      </c>
      <c r="K512" s="59" t="str">
        <f>IFERROR(__xludf.DUMMYFUNCTION("""COMPUTED_VALUE""")," ")</f>
        <v> </v>
      </c>
      <c r="L512" s="87" t="str">
        <f>IFERROR(__xludf.DUMMYFUNCTION("""COMPUTED_VALUE""")," ")</f>
        <v> </v>
      </c>
      <c r="M512" s="64" t="str">
        <f>IFERROR(__xludf.DUMMYFUNCTION("""COMPUTED_VALUE"""),"U: [1/3 W]; W: [1:1, $11.5]")</f>
        <v>U: [1/3 W]; W: [1:1, $11.5]</v>
      </c>
      <c r="N512" s="65" t="str">
        <f>IFERROR(__xludf.DUMMYFUNCTION("""COMPUTED_VALUE"""),"")</f>
        <v/>
      </c>
      <c r="O512" s="66">
        <f>IFERROR(__xludf.DUMMYFUNCTION("""COMPUTED_VALUE"""),0.0)</f>
        <v>0</v>
      </c>
      <c r="P512" s="67"/>
      <c r="Q512" s="68">
        <f>IFERROR(__xludf.DUMMYFUNCTION("""COMPUTED_VALUE"""),200.0)</f>
        <v>200</v>
      </c>
      <c r="R512" s="69" t="str">
        <f>IFERROR(__xludf.DUMMYFUNCTION("""COMPUTED_VALUE"""),"Barclays, Cantor")</f>
        <v>Barclays, Cantor</v>
      </c>
      <c r="S512" s="64">
        <f>IFERROR(__xludf.DUMMYFUNCTION("""COMPUTED_VALUE"""),45086.0)</f>
        <v>45086</v>
      </c>
      <c r="T512" s="70" t="str">
        <f>IFERROR(__xludf.DUMMYFUNCTION("""COMPUTED_VALUE"""),"")</f>
        <v/>
      </c>
      <c r="U512" s="71" t="str">
        <f>IFERROR(__xludf.DUMMYFUNCTION("""COMPUTED_VALUE"""),"https://www.sec.gov/cgi-bin/browse-edgar?CIK=1849475")</f>
        <v>https://www.sec.gov/cgi-bin/browse-edgar?CIK=1849475</v>
      </c>
      <c r="V512" s="72" t="str">
        <f>IFERROR(__xludf.DUMMYFUNCTION("""COMPUTED_VALUE"""),"            ")</f>
        <v>            </v>
      </c>
      <c r="W512" s="73"/>
      <c r="X512" s="74"/>
      <c r="Y512" s="75"/>
      <c r="Z512" s="60"/>
      <c r="AA512" s="60"/>
      <c r="AB512" s="60"/>
      <c r="AC512" s="60"/>
      <c r="AD512" s="73"/>
      <c r="AE512" s="73"/>
      <c r="AF512" s="76"/>
      <c r="AG512" s="60"/>
    </row>
    <row r="513">
      <c r="A513" s="88" t="str">
        <f>IFERROR(__xludf.DUMMYFUNCTION("""COMPUTED_VALUE"""),"NDAC")</f>
        <v>NDAC</v>
      </c>
      <c r="B513" s="55" t="str">
        <f>IFERROR(__xludf.DUMMYFUNCTION("""COMPUTED_VALUE"""),"NightDragon Acquisition Corp.")</f>
        <v>NightDragon Acquisition Corp.</v>
      </c>
      <c r="C513" s="56" t="str">
        <f>IFERROR(__xludf.DUMMYFUNCTION("""COMPUTED_VALUE"""),"Searching (Pre Unit Split)")</f>
        <v>Searching (Pre Unit Split)</v>
      </c>
      <c r="D513" s="77" t="str">
        <f>IFERROR(__xludf.DUMMYFUNCTION("""COMPUTED_VALUE"""),"Cybersecurity, Safety, Security and Privacy (CSSP)")</f>
        <v>Cybersecurity, Safety, Security and Privacy (CSSP)</v>
      </c>
      <c r="E513" s="58"/>
      <c r="F513" s="59" t="str">
        <f>IFERROR(__xludf.DUMMYFUNCTION("""COMPUTED_VALUE"""),"Dave DeWalt (Fmr Chairman/CEO, FireEye; Fmr CEO, McAfee), Mark Garrett (Fmr CFO, Adobe; Director, Cisco and Snowflake) ")</f>
        <v>Dave DeWalt (Fmr Chairman/CEO, FireEye; Fmr CEO, McAfee), Mark Garrett (Fmr CFO, Adobe; Director, Cisco and Snowflake) </v>
      </c>
      <c r="G513" s="60">
        <f>IFERROR(__xludf.DUMMYFUNCTION("""COMPUTED_VALUE"""),3.0E8)</f>
        <v>300000000</v>
      </c>
      <c r="H513" s="60" t="str">
        <f>IFERROR(__xludf.DUMMYFUNCTION("""COMPUTED_VALUE""")," ")</f>
        <v> </v>
      </c>
      <c r="I513" s="66" t="str">
        <f>IFERROR(__xludf.DUMMYFUNCTION("""COMPUTED_VALUE""")," ")</f>
        <v> </v>
      </c>
      <c r="J513" s="62" t="str">
        <f>IFERROR(__xludf.DUMMYFUNCTION("""COMPUTED_VALUE""")," ")</f>
        <v> </v>
      </c>
      <c r="K513" s="59">
        <f>IFERROR(__xludf.DUMMYFUNCTION("""COMPUTED_VALUE"""),10.2683)</f>
        <v>10.2683</v>
      </c>
      <c r="L513" s="87" t="str">
        <f>IFERROR(__xludf.DUMMYFUNCTION("""COMPUTED_VALUE""")," ")</f>
        <v> </v>
      </c>
      <c r="M513" s="64" t="str">
        <f>IFERROR(__xludf.DUMMYFUNCTION("""COMPUTED_VALUE"""),"U: [1/5 W]; W: [1:1, $11.5]")</f>
        <v>U: [1/5 W]; W: [1:1, $11.5]</v>
      </c>
      <c r="N513" s="65">
        <f>IFERROR(__xludf.DUMMYFUNCTION("""COMPUTED_VALUE"""),44308.0)</f>
        <v>44308</v>
      </c>
      <c r="O513" s="66" t="str">
        <f>IFERROR(__xludf.DUMMYFUNCTION("""COMPUTED_VALUE"""),"")</f>
        <v/>
      </c>
      <c r="P513" s="67">
        <f>IFERROR(__xludf.DUMMYFUNCTION("""COMPUTED_VALUE"""),44256.0)</f>
        <v>44256</v>
      </c>
      <c r="Q513" s="68">
        <f>IFERROR(__xludf.DUMMYFUNCTION("""COMPUTED_VALUE"""),300.0)</f>
        <v>300</v>
      </c>
      <c r="R513" s="69" t="str">
        <f>IFERROR(__xludf.DUMMYFUNCTION("""COMPUTED_VALUE"""),"Morgan Stanley")</f>
        <v>Morgan Stanley</v>
      </c>
      <c r="S513" s="64">
        <f>IFERROR(__xludf.DUMMYFUNCTION("""COMPUTED_VALUE"""),44986.0)</f>
        <v>44986</v>
      </c>
      <c r="T513" s="70">
        <f>IFERROR(__xludf.DUMMYFUNCTION("""COMPUTED_VALUE"""),0.0547945205479452)</f>
        <v>0.05479452055</v>
      </c>
      <c r="U513" s="71" t="str">
        <f>IFERROR(__xludf.DUMMYFUNCTION("""COMPUTED_VALUE"""),"https://www.sec.gov/cgi-bin/browse-edgar?CIK=1837067")</f>
        <v>https://www.sec.gov/cgi-bin/browse-edgar?CIK=1837067</v>
      </c>
      <c r="V513" s="72" t="str">
        <f>IFERROR(__xludf.DUMMYFUNCTION("""COMPUTED_VALUE"""),"         Well-known Sponsor Top Tier UW Top Tier UW ")</f>
        <v>         Well-known Sponsor Top Tier UW Top Tier UW </v>
      </c>
      <c r="W513" s="73"/>
      <c r="X513" s="74"/>
      <c r="Y513" s="75"/>
      <c r="Z513" s="60"/>
      <c r="AA513" s="60"/>
      <c r="AB513" s="60"/>
      <c r="AC513" s="60"/>
      <c r="AD513" s="73"/>
      <c r="AE513" s="73"/>
      <c r="AF513" s="76"/>
      <c r="AG513" s="60"/>
    </row>
    <row r="514">
      <c r="A514" s="54" t="str">
        <f>IFERROR(__xludf.DUMMYFUNCTION("""COMPUTED_VALUE"""),"NEBC")</f>
        <v>NEBC</v>
      </c>
      <c r="B514" s="55" t="str">
        <f>IFERROR(__xludf.DUMMYFUNCTION("""COMPUTED_VALUE"""),"Nebula Caravel Acquisition Corp.")</f>
        <v>Nebula Caravel Acquisition Corp.</v>
      </c>
      <c r="C514" s="56" t="str">
        <f>IFERROR(__xludf.DUMMYFUNCTION("""COMPUTED_VALUE"""),"Definitive Agreement")</f>
        <v>Definitive Agreement</v>
      </c>
      <c r="D514" s="57" t="str">
        <f>IFERROR(__xludf.DUMMYFUNCTION("""COMPUTED_VALUE"""),"Tech")</f>
        <v>Tech</v>
      </c>
      <c r="E514" s="58" t="str">
        <f>IFERROR(__xludf.DUMMYFUNCTION("""COMPUTED_VALUE"""),"Rover [DA: 02/11/21]")</f>
        <v>Rover [DA: 02/11/21]</v>
      </c>
      <c r="F514" s="59" t="str">
        <f>IFERROR(__xludf.DUMMYFUNCTION("""COMPUTED_VALUE"""),"Adam Clammer (Founding Partner, True Wind Capital), Scott Wagner (Fmr CEO, GoDaddy)")</f>
        <v>Adam Clammer (Founding Partner, True Wind Capital), Scott Wagner (Fmr CEO, GoDaddy)</v>
      </c>
      <c r="G514" s="60">
        <f>IFERROR(__xludf.DUMMYFUNCTION("""COMPUTED_VALUE"""),2.75E8)</f>
        <v>275000000</v>
      </c>
      <c r="H514" s="60">
        <f>IFERROR(__xludf.DUMMYFUNCTION("""COMPUTED_VALUE"""),2.73625E8)</f>
        <v>273625000</v>
      </c>
      <c r="I514" s="66">
        <f>IFERROR(__xludf.DUMMYFUNCTION("""COMPUTED_VALUE"""),9.95)</f>
        <v>9.95</v>
      </c>
      <c r="J514" s="62"/>
      <c r="K514" s="59">
        <f>IFERROR(__xludf.DUMMYFUNCTION("""COMPUTED_VALUE"""),10.3)</f>
        <v>10.3</v>
      </c>
      <c r="L514" s="87">
        <f>IFERROR(__xludf.DUMMYFUNCTION("""COMPUTED_VALUE"""),1.65)</f>
        <v>1.65</v>
      </c>
      <c r="M514" s="64" t="str">
        <f>IFERROR(__xludf.DUMMYFUNCTION("""COMPUTED_VALUE"""),"U: [1/5 W]; W: [1:1, $11.5]")</f>
        <v>U: [1/5 W]; W: [1:1, $11.5]</v>
      </c>
      <c r="N514" s="65" t="str">
        <f>IFERROR(__xludf.DUMMYFUNCTION("""COMPUTED_VALUE"""),"")</f>
        <v/>
      </c>
      <c r="O514" s="66">
        <f>IFERROR(__xludf.DUMMYFUNCTION("""COMPUTED_VALUE"""),0.0)</f>
        <v>0</v>
      </c>
      <c r="P514" s="67">
        <f>IFERROR(__xludf.DUMMYFUNCTION("""COMPUTED_VALUE"""),44173.0)</f>
        <v>44173</v>
      </c>
      <c r="Q514" s="68">
        <f>IFERROR(__xludf.DUMMYFUNCTION("""COMPUTED_VALUE"""),275.0)</f>
        <v>275</v>
      </c>
      <c r="R514" s="85" t="str">
        <f>IFERROR(__xludf.DUMMYFUNCTION("""COMPUTED_VALUE"""),"Deutsche Bank Securities, William Blair, Stifel")</f>
        <v>Deutsche Bank Securities, William Blair, Stifel</v>
      </c>
      <c r="S514" s="64">
        <f>IFERROR(__xludf.DUMMYFUNCTION("""COMPUTED_VALUE"""),44903.0)</f>
        <v>44903</v>
      </c>
      <c r="T514" s="70">
        <f>IFERROR(__xludf.DUMMYFUNCTION("""COMPUTED_VALUE"""),0.1684931506849315)</f>
        <v>0.1684931507</v>
      </c>
      <c r="U514" s="71" t="str">
        <f>IFERROR(__xludf.DUMMYFUNCTION("""COMPUTED_VALUE"""),"https://www.sec.gov/cgi-bin/browse-edgar?CIK=1826018")</f>
        <v>https://www.sec.gov/cgi-bin/browse-edgar?CIK=1826018</v>
      </c>
      <c r="V514" s="72" t="str">
        <f>IFERROR(__xludf.DUMMYFUNCTION("""COMPUTED_VALUE""")," Trading Below $10 (Common)        Well-known Sponsor   ")</f>
        <v> Trading Below $10 (Common)        Well-known Sponsor   </v>
      </c>
      <c r="W514" s="73">
        <f>IFERROR(__xludf.DUMMYFUNCTION("""COMPUTED_VALUE"""),44238.0)</f>
        <v>44238</v>
      </c>
      <c r="X514" s="79">
        <f>IFERROR(__xludf.DUMMYFUNCTION("""COMPUTED_VALUE"""),2.1666666666666665)</f>
        <v>2.166666667</v>
      </c>
      <c r="Y514" s="80" t="str">
        <f>IFERROR(__xludf.DUMMYFUNCTION("""COMPUTED_VALUE"""),"https://www.prnewswire.com/news-releases/rover-the-worlds-largest-network-of-five-star-pet-sitters-and-dog-walkers-announces-plans-to-become-a-public-company-via-a-merger-with-true-wind-capitals-spac-nebula-caravel-acquisition-corp-301226679.html")</f>
        <v>https://www.prnewswire.com/news-releases/rover-the-worlds-largest-network-of-five-star-pet-sitters-and-dog-walkers-announces-plans-to-become-a-public-company-via-a-merger-with-true-wind-capitals-spac-nebula-caravel-acquisition-corp-301226679.html</v>
      </c>
      <c r="Z514" s="81" t="str">
        <f>IFERROR(__xludf.DUMMYFUNCTION("""COMPUTED_VALUE"""),"https://www.sec.gov/Archives/edgar/data/1826018/000119312521037557/d63727dex992.htm")</f>
        <v>https://www.sec.gov/Archives/edgar/data/1826018/000119312521037557/d63727dex992.htm</v>
      </c>
      <c r="AA514" s="60">
        <f>IFERROR(__xludf.DUMMYFUNCTION("""COMPUTED_VALUE"""),5.0E7)</f>
        <v>50000000</v>
      </c>
      <c r="AB514" s="60">
        <f>IFERROR(__xludf.DUMMYFUNCTION("""COMPUTED_VALUE"""),1.63E9)</f>
        <v>1630000000</v>
      </c>
      <c r="AC514" s="60">
        <f>IFERROR(__xludf.DUMMYFUNCTION("""COMPUTED_VALUE"""),1.355E9)</f>
        <v>1355000000</v>
      </c>
      <c r="AD514" s="73"/>
      <c r="AE514" s="73"/>
      <c r="AF514" s="76">
        <f>IFERROR(__xludf.DUMMYFUNCTION("""COMPUTED_VALUE"""),1.63E8)</f>
        <v>163000000</v>
      </c>
      <c r="AG514" s="60">
        <f>IFERROR(__xludf.DUMMYFUNCTION("""COMPUTED_VALUE"""),1.62185E9)</f>
        <v>1621850000</v>
      </c>
    </row>
    <row r="515">
      <c r="A515" s="54" t="str">
        <f>IFERROR(__xludf.DUMMYFUNCTION("""COMPUTED_VALUE"""),"NGA")</f>
        <v>NGA</v>
      </c>
      <c r="B515" s="55" t="str">
        <f>IFERROR(__xludf.DUMMYFUNCTION("""COMPUTED_VALUE"""),"Northern Genesis Acquisition Corp.")</f>
        <v>Northern Genesis Acquisition Corp.</v>
      </c>
      <c r="C515" s="56" t="str">
        <f>IFERROR(__xludf.DUMMYFUNCTION("""COMPUTED_VALUE"""),"Definitive Agreement")</f>
        <v>Definitive Agreement</v>
      </c>
      <c r="D515" s="57" t="str">
        <f>IFERROR(__xludf.DUMMYFUNCTION("""COMPUTED_VALUE"""),"Sustainability, Societal Infrastructure")</f>
        <v>Sustainability, Societal Infrastructure</v>
      </c>
      <c r="E515" s="58" t="str">
        <f>IFERROR(__xludf.DUMMYFUNCTION("""COMPUTED_VALUE"""),"Lion Electric [DA: 11/30/20]")</f>
        <v>Lion Electric [DA: 11/30/20]</v>
      </c>
      <c r="F515" s="59"/>
      <c r="G515" s="60">
        <f>IFERROR(__xludf.DUMMYFUNCTION("""COMPUTED_VALUE"""),3.19478049E8)</f>
        <v>319478049</v>
      </c>
      <c r="H515" s="60">
        <f>IFERROR(__xludf.DUMMYFUNCTION("""COMPUTED_VALUE"""),6.95609866E8)</f>
        <v>695609866</v>
      </c>
      <c r="I515" s="66">
        <f>IFERROR(__xludf.DUMMYFUNCTION("""COMPUTED_VALUE"""),17.42)</f>
        <v>17.42</v>
      </c>
      <c r="J515" s="62">
        <f>IFERROR(__xludf.DUMMYFUNCTION("""COMPUTED_VALUE"""),0.01044)</f>
        <v>0.01044</v>
      </c>
      <c r="K515" s="59">
        <f>IFERROR(__xludf.DUMMYFUNCTION("""COMPUTED_VALUE"""),20.5)</f>
        <v>20.5</v>
      </c>
      <c r="L515" s="87">
        <f>IFERROR(__xludf.DUMMYFUNCTION("""COMPUTED_VALUE"""),6.11)</f>
        <v>6.11</v>
      </c>
      <c r="M515" s="64" t="str">
        <f>IFERROR(__xludf.DUMMYFUNCTION("""COMPUTED_VALUE"""),"U: [1/2 W]; W: [1:1, $11.5]")</f>
        <v>U: [1/2 W]; W: [1:1, $11.5]</v>
      </c>
      <c r="N515" s="65" t="str">
        <f>IFERROR(__xludf.DUMMYFUNCTION("""COMPUTED_VALUE"""),"")</f>
        <v/>
      </c>
      <c r="O515" s="66">
        <f>IFERROR(__xludf.DUMMYFUNCTION("""COMPUTED_VALUE"""),5.920000000000002)</f>
        <v>5.92</v>
      </c>
      <c r="P515" s="67">
        <f>IFERROR(__xludf.DUMMYFUNCTION("""COMPUTED_VALUE"""),44060.0)</f>
        <v>44060</v>
      </c>
      <c r="Q515" s="68">
        <f>IFERROR(__xludf.DUMMYFUNCTION("""COMPUTED_VALUE"""),319.45344)</f>
        <v>319.45344</v>
      </c>
      <c r="R515" s="69" t="str">
        <f>IFERROR(__xludf.DUMMYFUNCTION("""COMPUTED_VALUE"""),"Raymond James, EarlyBirdCapital")</f>
        <v>Raymond James, EarlyBirdCapital</v>
      </c>
      <c r="S515" s="64">
        <f>IFERROR(__xludf.DUMMYFUNCTION("""COMPUTED_VALUE"""),44790.0)</f>
        <v>44790</v>
      </c>
      <c r="T515" s="70">
        <f>IFERROR(__xludf.DUMMYFUNCTION("""COMPUTED_VALUE"""),0.3232876712328767)</f>
        <v>0.3232876712</v>
      </c>
      <c r="U515" s="71" t="str">
        <f>IFERROR(__xludf.DUMMYFUNCTION("""COMPUTED_VALUE"""),"https://www.sec.gov/cgi-bin/browse-edgar?CIK=1815495")</f>
        <v>https://www.sec.gov/cgi-bin/browse-edgar?CIK=1815495</v>
      </c>
      <c r="V515" s="72" t="str">
        <f>IFERROR(__xludf.DUMMYFUNCTION("""COMPUTED_VALUE"""),"E.V., Sustainability, Energy     Optionable     Serial Sponsor  ")</f>
        <v>E.V., Sustainability, Energy     Optionable     Serial Sponsor  </v>
      </c>
      <c r="W515" s="73">
        <f>IFERROR(__xludf.DUMMYFUNCTION("""COMPUTED_VALUE"""),44165.0)</f>
        <v>44165</v>
      </c>
      <c r="X515" s="79">
        <f>IFERROR(__xludf.DUMMYFUNCTION("""COMPUTED_VALUE"""),3.5)</f>
        <v>3.5</v>
      </c>
      <c r="Y515" s="80" t="str">
        <f>IFERROR(__xludf.DUMMYFUNCTION("""COMPUTED_VALUE"""),"https://www.businesswire.com/news/home/20201130005465/en/The-Lion-Electric-Company-and-Northern-Genesis-Acquisition-Corp.-Announce-Merger-and-Commitments-for-200-Million-in-a-PIPE-Combined-Company-Expected-to-be-Listed-on-NYSE")</f>
        <v>https://www.businesswire.com/news/home/20201130005465/en/The-Lion-Electric-Company-and-Northern-Genesis-Acquisition-Corp.-Announce-Merger-and-Commitments-for-200-Million-in-a-PIPE-Combined-Company-Expected-to-be-Listed-on-NYSE</v>
      </c>
      <c r="Z515" s="81" t="str">
        <f>IFERROR(__xludf.DUMMYFUNCTION("""COMPUTED_VALUE"""),"https://www.sec.gov/Archives/edgar/data/1815495/000121390020039789/ea130701ex99-3_northerngen.htm")</f>
        <v>https://www.sec.gov/Archives/edgar/data/1815495/000121390020039789/ea130701ex99-3_northerngen.htm</v>
      </c>
      <c r="AA515" s="60">
        <f>IFERROR(__xludf.DUMMYFUNCTION("""COMPUTED_VALUE"""),2.0E8)</f>
        <v>200000000</v>
      </c>
      <c r="AB515" s="60">
        <f>IFERROR(__xludf.DUMMYFUNCTION("""COMPUTED_VALUE"""),1.949E9)</f>
        <v>1949000000</v>
      </c>
      <c r="AC515" s="60">
        <f>IFERROR(__xludf.DUMMYFUNCTION("""COMPUTED_VALUE"""),1.505E9)</f>
        <v>1505000000</v>
      </c>
      <c r="AD515" s="73">
        <f>IFERROR(__xludf.DUMMYFUNCTION("""COMPUTED_VALUE"""),44307.0)</f>
        <v>44307</v>
      </c>
      <c r="AE515" s="73"/>
      <c r="AF515" s="76">
        <f>IFERROR(__xludf.DUMMYFUNCTION("""COMPUTED_VALUE"""),1.949E8)</f>
        <v>194900000</v>
      </c>
      <c r="AG515" s="60">
        <f>IFERROR(__xludf.DUMMYFUNCTION("""COMPUTED_VALUE"""),3.3951580000000005E9)</f>
        <v>3395158000</v>
      </c>
    </row>
    <row r="516">
      <c r="A516" s="54" t="str">
        <f>IFERROR(__xludf.DUMMYFUNCTION("""COMPUTED_VALUE"""),"NGAB")</f>
        <v>NGAB</v>
      </c>
      <c r="B516" s="55" t="str">
        <f>IFERROR(__xludf.DUMMYFUNCTION("""COMPUTED_VALUE"""),"Northern Genesis Acquisition Corp. II")</f>
        <v>Northern Genesis Acquisition Corp. II</v>
      </c>
      <c r="C516" s="56" t="str">
        <f>IFERROR(__xludf.DUMMYFUNCTION("""COMPUTED_VALUE"""),"Searching")</f>
        <v>Searching</v>
      </c>
      <c r="D516" s="57" t="str">
        <f>IFERROR(__xludf.DUMMYFUNCTION("""COMPUTED_VALUE"""),"Sustainability, Societal Infrastructure")</f>
        <v>Sustainability, Societal Infrastructure</v>
      </c>
      <c r="E516" s="58"/>
      <c r="F516" s="59" t="str">
        <f>IFERROR(__xludf.DUMMYFUNCTION("""COMPUTED_VALUE"""),"Michael Hoffman (Founder, Stone Capital Partners; Fmr Member Exec Committee, Blackstone)")</f>
        <v>Michael Hoffman (Founder, Stone Capital Partners; Fmr Member Exec Committee, Blackstone)</v>
      </c>
      <c r="G516" s="60">
        <f>IFERROR(__xludf.DUMMYFUNCTION("""COMPUTED_VALUE"""),4.14E8)</f>
        <v>414000000</v>
      </c>
      <c r="H516" s="60"/>
      <c r="I516" s="66">
        <f>IFERROR(__xludf.DUMMYFUNCTION("""COMPUTED_VALUE"""),9.99)</f>
        <v>9.99</v>
      </c>
      <c r="J516" s="62">
        <f>IFERROR(__xludf.DUMMYFUNCTION("""COMPUTED_VALUE"""),0.00201)</f>
        <v>0.00201</v>
      </c>
      <c r="K516" s="59">
        <f>IFERROR(__xludf.DUMMYFUNCTION("""COMPUTED_VALUE"""),10.565)</f>
        <v>10.565</v>
      </c>
      <c r="L516" s="87">
        <f>IFERROR(__xludf.DUMMYFUNCTION("""COMPUTED_VALUE"""),1.49)</f>
        <v>1.49</v>
      </c>
      <c r="M516" s="64" t="str">
        <f>IFERROR(__xludf.DUMMYFUNCTION("""COMPUTED_VALUE"""),"U: [1/3 W]; W: [1:1, $11.5]")</f>
        <v>U: [1/3 W]; W: [1:1, $11.5]</v>
      </c>
      <c r="N516" s="65" t="str">
        <f>IFERROR(__xludf.DUMMYFUNCTION("""COMPUTED_VALUE"""),"")</f>
        <v/>
      </c>
      <c r="O516" s="66">
        <f>IFERROR(__xludf.DUMMYFUNCTION("""COMPUTED_VALUE"""),0.0)</f>
        <v>0</v>
      </c>
      <c r="P516" s="67">
        <f>IFERROR(__xludf.DUMMYFUNCTION("""COMPUTED_VALUE"""),44208.0)</f>
        <v>44208</v>
      </c>
      <c r="Q516" s="68">
        <f>IFERROR(__xludf.DUMMYFUNCTION("""COMPUTED_VALUE"""),414.0)</f>
        <v>414</v>
      </c>
      <c r="R516" s="85" t="str">
        <f>IFERROR(__xludf.DUMMYFUNCTION("""COMPUTED_VALUE"""),"JP Morgan, Barclays, CIBC Capital Markets")</f>
        <v>JP Morgan, Barclays, CIBC Capital Markets</v>
      </c>
      <c r="S516" s="64">
        <f>IFERROR(__xludf.DUMMYFUNCTION("""COMPUTED_VALUE"""),44938.0)</f>
        <v>44938</v>
      </c>
      <c r="T516" s="70">
        <f>IFERROR(__xludf.DUMMYFUNCTION("""COMPUTED_VALUE"""),0.12054794520547946)</f>
        <v>0.1205479452</v>
      </c>
      <c r="U516" s="71" t="str">
        <f>IFERROR(__xludf.DUMMYFUNCTION("""COMPUTED_VALUE"""),"https://www.sec.gov/cgi-bin/browse-edgar?CIK=1827980")</f>
        <v>https://www.sec.gov/cgi-bin/browse-edgar?CIK=1827980</v>
      </c>
      <c r="V516" s="72" t="str">
        <f>IFERROR(__xludf.DUMMYFUNCTION("""COMPUTED_VALUE"""),"Sustainability Trading Below $10 (Common)         Serial Sponsor Top Tier UW ")</f>
        <v>Sustainability Trading Below $10 (Common)         Serial Sponsor Top Tier UW </v>
      </c>
      <c r="W516" s="73"/>
      <c r="X516" s="74"/>
      <c r="Y516" s="75"/>
      <c r="Z516" s="60"/>
      <c r="AA516" s="60"/>
      <c r="AB516" s="60"/>
      <c r="AC516" s="60"/>
      <c r="AD516" s="73"/>
      <c r="AE516" s="73"/>
      <c r="AF516" s="76"/>
      <c r="AG516" s="60" t="str">
        <f>IFERROR(__xludf.DUMMYFUNCTION("""COMPUTED_VALUE"""),"")</f>
        <v/>
      </c>
    </row>
    <row r="517">
      <c r="A517" s="54" t="str">
        <f>IFERROR(__xludf.DUMMYFUNCTION("""COMPUTED_VALUE"""),"NGAC")</f>
        <v>NGAC</v>
      </c>
      <c r="B517" s="55" t="str">
        <f>IFERROR(__xludf.DUMMYFUNCTION("""COMPUTED_VALUE"""),"NextGen Acquisition Corporation")</f>
        <v>NextGen Acquisition Corporation</v>
      </c>
      <c r="C517" s="56" t="str">
        <f>IFERROR(__xludf.DUMMYFUNCTION("""COMPUTED_VALUE"""),"Definitive Agreement")</f>
        <v>Definitive Agreement</v>
      </c>
      <c r="D517" s="57" t="str">
        <f>IFERROR(__xludf.DUMMYFUNCTION("""COMPUTED_VALUE"""),"Industrial, Healthcare")</f>
        <v>Industrial, Healthcare</v>
      </c>
      <c r="E517" s="58" t="str">
        <f>IFERROR(__xludf.DUMMYFUNCTION("""COMPUTED_VALUE"""),"Xos [DA: 02/22/21]")</f>
        <v>Xos [DA: 02/22/21]</v>
      </c>
      <c r="F517" s="59" t="str">
        <f>IFERROR(__xludf.DUMMYFUNCTION("""COMPUTED_VALUE"""),"George Mattson (Director, Delta Air Lines, Air France, Virgin Galactic), S. Sara Mathew (Fmr CEO, Dun &amp; Bradstreet), Gregory Summe (Fmr CEO, Perkin Elmer)")</f>
        <v>George Mattson (Director, Delta Air Lines, Air France, Virgin Galactic), S. Sara Mathew (Fmr CEO, Dun &amp; Bradstreet), Gregory Summe (Fmr CEO, Perkin Elmer)</v>
      </c>
      <c r="G517" s="60">
        <f>IFERROR(__xludf.DUMMYFUNCTION("""COMPUTED_VALUE"""),3.75007974E8)</f>
        <v>375007974</v>
      </c>
      <c r="H517" s="60">
        <f>IFERROR(__xludf.DUMMYFUNCTION("""COMPUTED_VALUE"""),3.74625E8)</f>
        <v>374625000</v>
      </c>
      <c r="I517" s="66">
        <f>IFERROR(__xludf.DUMMYFUNCTION("""COMPUTED_VALUE"""),9.99)</f>
        <v>9.99</v>
      </c>
      <c r="J517" s="62">
        <f>IFERROR(__xludf.DUMMYFUNCTION("""COMPUTED_VALUE"""),-0.001)</f>
        <v>-0.001</v>
      </c>
      <c r="K517" s="59">
        <f>IFERROR(__xludf.DUMMYFUNCTION("""COMPUTED_VALUE"""),10.54)</f>
        <v>10.54</v>
      </c>
      <c r="L517" s="87">
        <f>IFERROR(__xludf.DUMMYFUNCTION("""COMPUTED_VALUE"""),1.9)</f>
        <v>1.9</v>
      </c>
      <c r="M517" s="64" t="str">
        <f>IFERROR(__xludf.DUMMYFUNCTION("""COMPUTED_VALUE"""),"U: [1/3 W]; W: [1:1, $11.5]")</f>
        <v>U: [1/3 W]; W: [1:1, $11.5]</v>
      </c>
      <c r="N517" s="65" t="str">
        <f>IFERROR(__xludf.DUMMYFUNCTION("""COMPUTED_VALUE"""),"")</f>
        <v/>
      </c>
      <c r="O517" s="66">
        <f>IFERROR(__xludf.DUMMYFUNCTION("""COMPUTED_VALUE"""),0.0)</f>
        <v>0</v>
      </c>
      <c r="P517" s="67">
        <f>IFERROR(__xludf.DUMMYFUNCTION("""COMPUTED_VALUE"""),44110.0)</f>
        <v>44110</v>
      </c>
      <c r="Q517" s="68">
        <f>IFERROR(__xludf.DUMMYFUNCTION("""COMPUTED_VALUE"""),375.0)</f>
        <v>375</v>
      </c>
      <c r="R517" s="85" t="str">
        <f>IFERROR(__xludf.DUMMYFUNCTION("""COMPUTED_VALUE"""),"Goldman Sachs, Credit Suisse")</f>
        <v>Goldman Sachs, Credit Suisse</v>
      </c>
      <c r="S517" s="64">
        <f>IFERROR(__xludf.DUMMYFUNCTION("""COMPUTED_VALUE"""),44840.0)</f>
        <v>44840</v>
      </c>
      <c r="T517" s="70">
        <f>IFERROR(__xludf.DUMMYFUNCTION("""COMPUTED_VALUE"""),0.2547945205479452)</f>
        <v>0.2547945205</v>
      </c>
      <c r="U517" s="71" t="str">
        <f>IFERROR(__xludf.DUMMYFUNCTION("""COMPUTED_VALUE"""),"https://www.sec.gov/cgi-bin/browse-edgar?CIK=1819493")</f>
        <v>https://www.sec.gov/cgi-bin/browse-edgar?CIK=1819493</v>
      </c>
      <c r="V517" s="72" t="str">
        <f>IFERROR(__xludf.DUMMYFUNCTION("""COMPUTED_VALUE"""),"E.V., Sustainability, Energy Trading Below $10 (Common)    Optionable    Well-known Sponsor  Top Tier UW ")</f>
        <v>E.V., Sustainability, Energy Trading Below $10 (Common)    Optionable    Well-known Sponsor  Top Tier UW </v>
      </c>
      <c r="W517" s="73">
        <f>IFERROR(__xludf.DUMMYFUNCTION("""COMPUTED_VALUE"""),44249.0)</f>
        <v>44249</v>
      </c>
      <c r="X517" s="79">
        <f>IFERROR(__xludf.DUMMYFUNCTION("""COMPUTED_VALUE"""),4.633333333333334)</f>
        <v>4.633333333</v>
      </c>
      <c r="Y517" s="80" t="str">
        <f>IFERROR(__xludf.DUMMYFUNCTION("""COMPUTED_VALUE"""),"https://www.businesswire.com/news/home/20210222005244/en/Xos-a-Leading-Commercial-Electric-Vehicle-OEM-to-Become-Publicly-Traded-on-Nasdaq-Through-Merger-with-NextGen-Acquisition-Corporation")</f>
        <v>https://www.businesswire.com/news/home/20210222005244/en/Xos-a-Leading-Commercial-Electric-Vehicle-OEM-to-Become-Publicly-Traded-on-Nasdaq-Through-Merger-with-NextGen-Acquisition-Corporation</v>
      </c>
      <c r="Z517" s="81" t="str">
        <f>IFERROR(__xludf.DUMMYFUNCTION("""COMPUTED_VALUE"""),"https://www.sec.gov/Archives/edgar/data/1819493/000121390021010735/ea136126ex99-2_nextgenacq.htm")</f>
        <v>https://www.sec.gov/Archives/edgar/data/1819493/000121390021010735/ea136126ex99-2_nextgenacq.htm</v>
      </c>
      <c r="AA517" s="60">
        <f>IFERROR(__xludf.DUMMYFUNCTION("""COMPUTED_VALUE"""),2.2E8)</f>
        <v>220000000</v>
      </c>
      <c r="AB517" s="60">
        <f>IFERROR(__xludf.DUMMYFUNCTION("""COMPUTED_VALUE"""),1.965E9)</f>
        <v>1965000000</v>
      </c>
      <c r="AC517" s="60">
        <f>IFERROR(__xludf.DUMMYFUNCTION("""COMPUTED_VALUE"""),1.45E9)</f>
        <v>1450000000</v>
      </c>
      <c r="AD517" s="73"/>
      <c r="AE517" s="73"/>
      <c r="AF517" s="76">
        <f>IFERROR(__xludf.DUMMYFUNCTION("""COMPUTED_VALUE"""),1.965E8)</f>
        <v>196500000</v>
      </c>
      <c r="AG517" s="60">
        <f>IFERROR(__xludf.DUMMYFUNCTION("""COMPUTED_VALUE"""),1.963035E9)</f>
        <v>1963035000</v>
      </c>
    </row>
    <row r="518">
      <c r="A518" s="88" t="str">
        <f>IFERROR(__xludf.DUMMYFUNCTION("""COMPUTED_VALUE"""),"NGC")</f>
        <v>NGC</v>
      </c>
      <c r="B518" s="55" t="str">
        <f>IFERROR(__xludf.DUMMYFUNCTION("""COMPUTED_VALUE"""),"Northern Genesis Acquisition Corp. III")</f>
        <v>Northern Genesis Acquisition Corp. III</v>
      </c>
      <c r="C518" s="56" t="str">
        <f>IFERROR(__xludf.DUMMYFUNCTION("""COMPUTED_VALUE"""),"Searching (Pre Unit Split)")</f>
        <v>Searching (Pre Unit Split)</v>
      </c>
      <c r="D518" s="57" t="str">
        <f>IFERROR(__xludf.DUMMYFUNCTION("""COMPUTED_VALUE"""),"Sustainability, Societal Infrastructure")</f>
        <v>Sustainability, Societal Infrastructure</v>
      </c>
      <c r="E518" s="58"/>
      <c r="F518" s="59" t="str">
        <f>IFERROR(__xludf.DUMMYFUNCTION("""COMPUTED_VALUE"""),"Michael Hoffman (Founder, Stone Capital Partners; Fmr Member Exec Committee, Blackstone)")</f>
        <v>Michael Hoffman (Founder, Stone Capital Partners; Fmr Member Exec Committee, Blackstone)</v>
      </c>
      <c r="G518" s="60">
        <f>IFERROR(__xludf.DUMMYFUNCTION("""COMPUTED_VALUE"""),1.5E8)</f>
        <v>150000000</v>
      </c>
      <c r="H518" s="60" t="str">
        <f>IFERROR(__xludf.DUMMYFUNCTION("""COMPUTED_VALUE""")," ")</f>
        <v> </v>
      </c>
      <c r="I518" s="66" t="str">
        <f>IFERROR(__xludf.DUMMYFUNCTION("""COMPUTED_VALUE""")," ")</f>
        <v> </v>
      </c>
      <c r="J518" s="62" t="str">
        <f>IFERROR(__xludf.DUMMYFUNCTION("""COMPUTED_VALUE""")," ")</f>
        <v> </v>
      </c>
      <c r="K518" s="59">
        <f>IFERROR(__xludf.DUMMYFUNCTION("""COMPUTED_VALUE"""),10.1)</f>
        <v>10.1</v>
      </c>
      <c r="L518" s="87" t="str">
        <f>IFERROR(__xludf.DUMMYFUNCTION("""COMPUTED_VALUE""")," ")</f>
        <v> </v>
      </c>
      <c r="M518" s="64" t="str">
        <f>IFERROR(__xludf.DUMMYFUNCTION("""COMPUTED_VALUE"""),"U: [1/4 W]; W: [1:1, $11.5]")</f>
        <v>U: [1/4 W]; W: [1:1, $11.5]</v>
      </c>
      <c r="N518" s="65">
        <f>IFERROR(__xludf.DUMMYFUNCTION("""COMPUTED_VALUE"""),44330.0)</f>
        <v>44330</v>
      </c>
      <c r="O518" s="66" t="str">
        <f>IFERROR(__xludf.DUMMYFUNCTION("""COMPUTED_VALUE"""),"")</f>
        <v/>
      </c>
      <c r="P518" s="67">
        <f>IFERROR(__xludf.DUMMYFUNCTION("""COMPUTED_VALUE"""),44278.0)</f>
        <v>44278</v>
      </c>
      <c r="Q518" s="68">
        <f>IFERROR(__xludf.DUMMYFUNCTION("""COMPUTED_VALUE"""),150.0)</f>
        <v>150</v>
      </c>
      <c r="R518" s="69" t="str">
        <f>IFERROR(__xludf.DUMMYFUNCTION("""COMPUTED_VALUE"""),"Morgan Stanley, Wells Fargo Securities, TD Securities")</f>
        <v>Morgan Stanley, Wells Fargo Securities, TD Securities</v>
      </c>
      <c r="S518" s="64">
        <f>IFERROR(__xludf.DUMMYFUNCTION("""COMPUTED_VALUE"""),45008.0)</f>
        <v>45008</v>
      </c>
      <c r="T518" s="70">
        <f>IFERROR(__xludf.DUMMYFUNCTION("""COMPUTED_VALUE"""),0.024657534246575342)</f>
        <v>0.02465753425</v>
      </c>
      <c r="U518" s="71" t="str">
        <f>IFERROR(__xludf.DUMMYFUNCTION("""COMPUTED_VALUE"""),"https://www.sec.gov/cgi-bin/browse-edgar?CIK=1843249")</f>
        <v>https://www.sec.gov/cgi-bin/browse-edgar?CIK=1843249</v>
      </c>
      <c r="V518" s="72" t="str">
        <f>IFERROR(__xludf.DUMMYFUNCTION("""COMPUTED_VALUE"""),"Sustainability          Serial Sponsor Top Tier UW ")</f>
        <v>Sustainability          Serial Sponsor Top Tier UW </v>
      </c>
      <c r="W518" s="73"/>
      <c r="X518" s="74"/>
      <c r="Y518" s="75"/>
      <c r="Z518" s="60"/>
      <c r="AA518" s="60"/>
      <c r="AB518" s="60"/>
      <c r="AC518" s="60"/>
      <c r="AD518" s="73"/>
      <c r="AE518" s="73"/>
      <c r="AF518" s="76"/>
      <c r="AG518" s="60"/>
    </row>
    <row r="519">
      <c r="A519" s="88" t="str">
        <f>IFERROR(__xludf.DUMMYFUNCTION("""COMPUTED_VALUE"""),"NGCA")</f>
        <v>NGCA</v>
      </c>
      <c r="B519" s="55" t="str">
        <f>IFERROR(__xludf.DUMMYFUNCTION("""COMPUTED_VALUE"""),"NextGen Acquisition Corp. II")</f>
        <v>NextGen Acquisition Corp. II</v>
      </c>
      <c r="C519" s="56" t="str">
        <f>IFERROR(__xludf.DUMMYFUNCTION("""COMPUTED_VALUE"""),"Searching (Pre Unit Split)")</f>
        <v>Searching (Pre Unit Split)</v>
      </c>
      <c r="D519" s="77" t="str">
        <f>IFERROR(__xludf.DUMMYFUNCTION("""COMPUTED_VALUE"""),"Industrial, Tech, and Healthcare")</f>
        <v>Industrial, Tech, and Healthcare</v>
      </c>
      <c r="E519" s="58"/>
      <c r="F519" s="59" t="str">
        <f>IFERROR(__xludf.DUMMYFUNCTION("""COMPUTED_VALUE"""),"George Mattson (Director of Delta Air Lines, Air France-KLM, and Virgin Galactic Holdings)")</f>
        <v>George Mattson (Director of Delta Air Lines, Air France-KLM, and Virgin Galactic Holdings)</v>
      </c>
      <c r="G519" s="60">
        <f>IFERROR(__xludf.DUMMYFUNCTION("""COMPUTED_VALUE"""),3.5E8)</f>
        <v>350000000</v>
      </c>
      <c r="H519" s="60" t="str">
        <f>IFERROR(__xludf.DUMMYFUNCTION("""COMPUTED_VALUE""")," ")</f>
        <v> </v>
      </c>
      <c r="I519" s="66" t="str">
        <f>IFERROR(__xludf.DUMMYFUNCTION("""COMPUTED_VALUE""")," ")</f>
        <v> </v>
      </c>
      <c r="J519" s="62" t="str">
        <f>IFERROR(__xludf.DUMMYFUNCTION("""COMPUTED_VALUE""")," ")</f>
        <v> </v>
      </c>
      <c r="K519" s="59">
        <f>IFERROR(__xludf.DUMMYFUNCTION("""COMPUTED_VALUE"""),9.93)</f>
        <v>9.93</v>
      </c>
      <c r="L519" s="87" t="str">
        <f>IFERROR(__xludf.DUMMYFUNCTION("""COMPUTED_VALUE""")," ")</f>
        <v> </v>
      </c>
      <c r="M519" s="64" t="str">
        <f>IFERROR(__xludf.DUMMYFUNCTION("""COMPUTED_VALUE"""),"U: [1/5 W]; W: [1:1, $11.5]")</f>
        <v>U: [1/5 W]; W: [1:1, $11.5]</v>
      </c>
      <c r="N519" s="65">
        <f>IFERROR(__xludf.DUMMYFUNCTION("""COMPUTED_VALUE"""),44329.0)</f>
        <v>44329</v>
      </c>
      <c r="O519" s="66">
        <f>IFERROR(__xludf.DUMMYFUNCTION("""COMPUTED_VALUE"""),0.0)</f>
        <v>0</v>
      </c>
      <c r="P519" s="67">
        <f>IFERROR(__xludf.DUMMYFUNCTION("""COMPUTED_VALUE"""),44277.0)</f>
        <v>44277</v>
      </c>
      <c r="Q519" s="68">
        <f>IFERROR(__xludf.DUMMYFUNCTION("""COMPUTED_VALUE"""),350.0)</f>
        <v>350</v>
      </c>
      <c r="R519" s="69" t="str">
        <f>IFERROR(__xludf.DUMMYFUNCTION("""COMPUTED_VALUE"""),"Goldman Sachs &amp; Co. LLC, Credit Suisse")</f>
        <v>Goldman Sachs &amp; Co. LLC, Credit Suisse</v>
      </c>
      <c r="S519" s="64">
        <f>IFERROR(__xludf.DUMMYFUNCTION("""COMPUTED_VALUE"""),45007.0)</f>
        <v>45007</v>
      </c>
      <c r="T519" s="70">
        <f>IFERROR(__xludf.DUMMYFUNCTION("""COMPUTED_VALUE"""),0.026027397260273973)</f>
        <v>0.02602739726</v>
      </c>
      <c r="U519" s="71" t="str">
        <f>IFERROR(__xludf.DUMMYFUNCTION("""COMPUTED_VALUE"""),"https://www.sec.gov/cgi-bin/browse-edgar?CIK=1843388")</f>
        <v>https://www.sec.gov/cgi-bin/browse-edgar?CIK=1843388</v>
      </c>
      <c r="V519" s="72" t="str">
        <f>IFERROR(__xludf.DUMMYFUNCTION("""COMPUTED_VALUE"""),"         Well-known Sponsor  Top Tier UW ")</f>
        <v>         Well-known Sponsor  Top Tier UW </v>
      </c>
      <c r="W519" s="73"/>
      <c r="X519" s="74"/>
      <c r="Y519" s="75"/>
      <c r="Z519" s="60"/>
      <c r="AA519" s="60"/>
      <c r="AB519" s="60"/>
      <c r="AC519" s="60"/>
      <c r="AD519" s="73"/>
      <c r="AE519" s="73"/>
      <c r="AF519" s="76"/>
      <c r="AG519" s="60"/>
    </row>
    <row r="520">
      <c r="A520" s="54" t="str">
        <f>IFERROR(__xludf.DUMMYFUNCTION("""COMPUTED_VALUE"""),"NHIC")</f>
        <v>NHIC</v>
      </c>
      <c r="B520" s="55" t="str">
        <f>IFERROR(__xludf.DUMMYFUNCTION("""COMPUTED_VALUE"""),"NewHold Investment Corp")</f>
        <v>NewHold Investment Corp</v>
      </c>
      <c r="C520" s="56" t="str">
        <f>IFERROR(__xludf.DUMMYFUNCTION("""COMPUTED_VALUE"""),"Definitive Agreement")</f>
        <v>Definitive Agreement</v>
      </c>
      <c r="D520" s="57" t="str">
        <f>IFERROR(__xludf.DUMMYFUNCTION("""COMPUTED_VALUE"""),"Industrial Technology, $700M+")</f>
        <v>Industrial Technology, $700M+</v>
      </c>
      <c r="E520" s="58" t="str">
        <f>IFERROR(__xludf.DUMMYFUNCTION("""COMPUTED_VALUE"""),"Evolv Technology [DA: 03/08/21]")</f>
        <v>Evolv Technology [DA: 03/08/21]</v>
      </c>
      <c r="F520" s="59"/>
      <c r="G520" s="60">
        <f>IFERROR(__xludf.DUMMYFUNCTION("""COMPUTED_VALUE"""),1.72526E8)</f>
        <v>172526000</v>
      </c>
      <c r="H520" s="60">
        <f>IFERROR(__xludf.DUMMYFUNCTION("""COMPUTED_VALUE"""),1.7388E8)</f>
        <v>173880000</v>
      </c>
      <c r="I520" s="66">
        <f>IFERROR(__xludf.DUMMYFUNCTION("""COMPUTED_VALUE"""),10.08)</f>
        <v>10.08</v>
      </c>
      <c r="J520" s="62">
        <f>IFERROR(__xludf.DUMMYFUNCTION("""COMPUTED_VALUE"""),-9.9E-4)</f>
        <v>-0.00099</v>
      </c>
      <c r="K520" s="59">
        <f>IFERROR(__xludf.DUMMYFUNCTION("""COMPUTED_VALUE"""),10.84)</f>
        <v>10.84</v>
      </c>
      <c r="L520" s="87">
        <f>IFERROR(__xludf.DUMMYFUNCTION("""COMPUTED_VALUE"""),1.39)</f>
        <v>1.39</v>
      </c>
      <c r="M520" s="64" t="str">
        <f>IFERROR(__xludf.DUMMYFUNCTION("""COMPUTED_VALUE"""),"U: [1/2 W]; W: [1:1, $11.5]")</f>
        <v>U: [1/2 W]; W: [1:1, $11.5]</v>
      </c>
      <c r="N520" s="65" t="str">
        <f>IFERROR(__xludf.DUMMYFUNCTION("""COMPUTED_VALUE"""),"")</f>
        <v/>
      </c>
      <c r="O520" s="66">
        <f>IFERROR(__xludf.DUMMYFUNCTION("""COMPUTED_VALUE"""),0.0)</f>
        <v>0</v>
      </c>
      <c r="P520" s="67">
        <f>IFERROR(__xludf.DUMMYFUNCTION("""COMPUTED_VALUE"""),44043.0)</f>
        <v>44043</v>
      </c>
      <c r="Q520" s="68">
        <f>IFERROR(__xludf.DUMMYFUNCTION("""COMPUTED_VALUE"""),172.5)</f>
        <v>172.5</v>
      </c>
      <c r="R520" s="69" t="str">
        <f>IFERROR(__xludf.DUMMYFUNCTION("""COMPUTED_VALUE"""),"Stifel, I-Bankers")</f>
        <v>Stifel, I-Bankers</v>
      </c>
      <c r="S520" s="64">
        <f>IFERROR(__xludf.DUMMYFUNCTION("""COMPUTED_VALUE"""),44773.0)</f>
        <v>44773</v>
      </c>
      <c r="T520" s="70">
        <f>IFERROR(__xludf.DUMMYFUNCTION("""COMPUTED_VALUE"""),0.34657534246575344)</f>
        <v>0.3465753425</v>
      </c>
      <c r="U520" s="71" t="str">
        <f>IFERROR(__xludf.DUMMYFUNCTION("""COMPUTED_VALUE"""),"https://www.sec.gov/cgi-bin/browse-edgar?CIK=1805385")</f>
        <v>https://www.sec.gov/cgi-bin/browse-edgar?CIK=1805385</v>
      </c>
      <c r="V520" s="72" t="str">
        <f>IFERROR(__xludf.DUMMYFUNCTION("""COMPUTED_VALUE"""),"            ")</f>
        <v>            </v>
      </c>
      <c r="W520" s="73">
        <f>IFERROR(__xludf.DUMMYFUNCTION("""COMPUTED_VALUE"""),44263.0)</f>
        <v>44263</v>
      </c>
      <c r="X520" s="79">
        <f>IFERROR(__xludf.DUMMYFUNCTION("""COMPUTED_VALUE"""),7.333333333333333)</f>
        <v>7.333333333</v>
      </c>
      <c r="Y520" s="80" t="str">
        <f>IFERROR(__xludf.DUMMYFUNCTION("""COMPUTED_VALUE"""),"https://www.businesswire.com/news/home/20210308005280/en/Evolv-Technology-the-Leader-in-AI-Enabled-Touchless-Security-Screening-to-Become-Publicly-Traded-Through-Merger-with-NewHold-Investment-Corp.#.YEYSUGm3HgI.twitter")</f>
        <v>https://www.businesswire.com/news/home/20210308005280/en/Evolv-Technology-the-Leader-in-AI-Enabled-Touchless-Security-Screening-to-Become-Publicly-Traded-Through-Merger-with-NewHold-Investment-Corp.#.YEYSUGm3HgI.twitter</v>
      </c>
      <c r="Z520" s="81" t="str">
        <f>IFERROR(__xludf.DUMMYFUNCTION("""COMPUTED_VALUE"""),"https://www.sec.gov/Archives/edgar/data/1805385/000121390021013856/ea137148ex99-2_newholdinves.htm")</f>
        <v>https://www.sec.gov/Archives/edgar/data/1805385/000121390021013856/ea137148ex99-2_newholdinves.htm</v>
      </c>
      <c r="AA520" s="60">
        <f>IFERROR(__xludf.DUMMYFUNCTION("""COMPUTED_VALUE"""),3.0E7)</f>
        <v>30000000</v>
      </c>
      <c r="AB520" s="60">
        <f>IFERROR(__xludf.DUMMYFUNCTION("""COMPUTED_VALUE"""),1.7467E9)</f>
        <v>1746700000</v>
      </c>
      <c r="AC520" s="60">
        <f>IFERROR(__xludf.DUMMYFUNCTION("""COMPUTED_VALUE"""),1.3253E9)</f>
        <v>1325300000</v>
      </c>
      <c r="AD520" s="73"/>
      <c r="AE520" s="73"/>
      <c r="AF520" s="76">
        <f>IFERROR(__xludf.DUMMYFUNCTION("""COMPUTED_VALUE"""),1.7467E8)</f>
        <v>174670000</v>
      </c>
      <c r="AG520" s="60">
        <f>IFERROR(__xludf.DUMMYFUNCTION("""COMPUTED_VALUE"""),1.7606736E9)</f>
        <v>1760673600</v>
      </c>
    </row>
    <row r="521">
      <c r="A521" s="88" t="str">
        <f>IFERROR(__xludf.DUMMYFUNCTION("""COMPUTED_VALUE"""),"NHLD")</f>
        <v>NHLD</v>
      </c>
      <c r="B521" s="55" t="str">
        <f>IFERROR(__xludf.DUMMYFUNCTION("""COMPUTED_VALUE"""),"NewHold Investment Corp. II")</f>
        <v>NewHold Investment Corp. II</v>
      </c>
      <c r="C521" s="56" t="str">
        <f>IFERROR(__xludf.DUMMYFUNCTION("""COMPUTED_VALUE"""),"Pre IPO")</f>
        <v>Pre IPO</v>
      </c>
      <c r="D521" s="77" t="str">
        <f>IFERROR(__xludf.DUMMYFUNCTION("""COMPUTED_VALUE"""),"Industrial Technology, $700M+")</f>
        <v>Industrial Technology, $700M+</v>
      </c>
      <c r="E521" s="58"/>
      <c r="F521" s="59" t="str">
        <f>IFERROR(__xludf.DUMMYFUNCTION("""COMPUTED_VALUE"""),"Neil Glat (Former President of the New York Jets)")</f>
        <v>Neil Glat (Former President of the New York Jets)</v>
      </c>
      <c r="G521" s="60">
        <f>IFERROR(__xludf.DUMMYFUNCTION("""COMPUTED_VALUE"""),1.75E8)</f>
        <v>175000000</v>
      </c>
      <c r="H521" s="60" t="str">
        <f>IFERROR(__xludf.DUMMYFUNCTION("""COMPUTED_VALUE""")," ")</f>
        <v> </v>
      </c>
      <c r="I521" s="66" t="str">
        <f>IFERROR(__xludf.DUMMYFUNCTION("""COMPUTED_VALUE""")," ")</f>
        <v> </v>
      </c>
      <c r="J521" s="62" t="str">
        <f>IFERROR(__xludf.DUMMYFUNCTION("""COMPUTED_VALUE""")," ")</f>
        <v> </v>
      </c>
      <c r="K521" s="59" t="str">
        <f>IFERROR(__xludf.DUMMYFUNCTION("""COMPUTED_VALUE""")," ")</f>
        <v> </v>
      </c>
      <c r="L521" s="87" t="str">
        <f>IFERROR(__xludf.DUMMYFUNCTION("""COMPUTED_VALUE""")," ")</f>
        <v> </v>
      </c>
      <c r="M521" s="64" t="str">
        <f>IFERROR(__xludf.DUMMYFUNCTION("""COMPUTED_VALUE"""),"U: [1/4 W]; W: [1:1, $11.5]")</f>
        <v>U: [1/4 W]; W: [1:1, $11.5]</v>
      </c>
      <c r="N521" s="65" t="str">
        <f>IFERROR(__xludf.DUMMYFUNCTION("""COMPUTED_VALUE"""),"")</f>
        <v/>
      </c>
      <c r="O521" s="66">
        <f>IFERROR(__xludf.DUMMYFUNCTION("""COMPUTED_VALUE"""),0.0)</f>
        <v>0</v>
      </c>
      <c r="P521" s="67"/>
      <c r="Q521" s="68">
        <f>IFERROR(__xludf.DUMMYFUNCTION("""COMPUTED_VALUE"""),175.0)</f>
        <v>175</v>
      </c>
      <c r="R521" s="69" t="str">
        <f>IFERROR(__xludf.DUMMYFUNCTION("""COMPUTED_VALUE"""),"Stifel")</f>
        <v>Stifel</v>
      </c>
      <c r="S521" s="64">
        <f>IFERROR(__xludf.DUMMYFUNCTION("""COMPUTED_VALUE"""),45086.0)</f>
        <v>45086</v>
      </c>
      <c r="T521" s="70" t="str">
        <f>IFERROR(__xludf.DUMMYFUNCTION("""COMPUTED_VALUE"""),"")</f>
        <v/>
      </c>
      <c r="U521" s="71" t="str">
        <f>IFERROR(__xludf.DUMMYFUNCTION("""COMPUTED_VALUE"""),"https://www.sec.gov/cgi-bin/browse-edgar?CIK=1852931")</f>
        <v>https://www.sec.gov/cgi-bin/browse-edgar?CIK=1852931</v>
      </c>
      <c r="V521" s="72" t="str">
        <f>IFERROR(__xludf.DUMMYFUNCTION("""COMPUTED_VALUE"""),"            ")</f>
        <v>            </v>
      </c>
      <c r="W521" s="73"/>
      <c r="X521" s="74"/>
      <c r="Y521" s="75"/>
      <c r="Z521" s="60"/>
      <c r="AA521" s="60"/>
      <c r="AB521" s="60"/>
      <c r="AC521" s="60"/>
      <c r="AD521" s="73"/>
      <c r="AE521" s="73"/>
      <c r="AF521" s="76"/>
      <c r="AG521" s="60"/>
    </row>
    <row r="522">
      <c r="A522" s="54" t="str">
        <f>IFERROR(__xludf.DUMMYFUNCTION("""COMPUTED_VALUE"""),"NMMC")</f>
        <v>NMMC</v>
      </c>
      <c r="B522" s="55" t="str">
        <f>IFERROR(__xludf.DUMMYFUNCTION("""COMPUTED_VALUE"""),"North Mountain Merger Corp.")</f>
        <v>North Mountain Merger Corp.</v>
      </c>
      <c r="C522" s="56" t="str">
        <f>IFERROR(__xludf.DUMMYFUNCTION("""COMPUTED_VALUE"""),"Searching")</f>
        <v>Searching</v>
      </c>
      <c r="D522" s="57" t="str">
        <f>IFERROR(__xludf.DUMMYFUNCTION("""COMPUTED_VALUE"""),"Fintech")</f>
        <v>Fintech</v>
      </c>
      <c r="E522" s="58"/>
      <c r="F522" s="59" t="str">
        <f>IFERROR(__xludf.DUMMYFUNCTION("""COMPUTED_VALUE"""),"Charles Bernicker (CEO, South Mountain Merger Corp &amp; Former CFO, CardConnect)")</f>
        <v>Charles Bernicker (CEO, South Mountain Merger Corp &amp; Former CFO, CardConnect)</v>
      </c>
      <c r="G522" s="60">
        <f>IFERROR(__xludf.DUMMYFUNCTION("""COMPUTED_VALUE"""),1.32253093E8)</f>
        <v>132253093</v>
      </c>
      <c r="H522" s="60">
        <f>IFERROR(__xludf.DUMMYFUNCTION("""COMPUTED_VALUE"""),1.32779E8)</f>
        <v>132779000</v>
      </c>
      <c r="I522" s="66">
        <f>IFERROR(__xludf.DUMMYFUNCTION("""COMPUTED_VALUE"""),10.04)</f>
        <v>10.04</v>
      </c>
      <c r="J522" s="62">
        <f>IFERROR(__xludf.DUMMYFUNCTION("""COMPUTED_VALUE"""),0.004)</f>
        <v>0.004</v>
      </c>
      <c r="K522" s="59">
        <f>IFERROR(__xludf.DUMMYFUNCTION("""COMPUTED_VALUE"""),10.3021)</f>
        <v>10.3021</v>
      </c>
      <c r="L522" s="87">
        <f>IFERROR(__xludf.DUMMYFUNCTION("""COMPUTED_VALUE"""),1.22)</f>
        <v>1.22</v>
      </c>
      <c r="M522" s="64" t="str">
        <f>IFERROR(__xludf.DUMMYFUNCTION("""COMPUTED_VALUE"""),"U: [1/2 W]; W: [1:1, $11.5]")</f>
        <v>U: [1/2 W]; W: [1:1, $11.5]</v>
      </c>
      <c r="N522" s="65" t="str">
        <f>IFERROR(__xludf.DUMMYFUNCTION("""COMPUTED_VALUE"""),"")</f>
        <v/>
      </c>
      <c r="O522" s="66">
        <f>IFERROR(__xludf.DUMMYFUNCTION("""COMPUTED_VALUE"""),0.0)</f>
        <v>0</v>
      </c>
      <c r="P522" s="67">
        <f>IFERROR(__xludf.DUMMYFUNCTION("""COMPUTED_VALUE"""),44092.0)</f>
        <v>44092</v>
      </c>
      <c r="Q522" s="68">
        <f>IFERROR(__xludf.DUMMYFUNCTION("""COMPUTED_VALUE"""),132.25)</f>
        <v>132.25</v>
      </c>
      <c r="R522" s="85" t="str">
        <f>IFERROR(__xludf.DUMMYFUNCTION("""COMPUTED_VALUE"""),"Citigroup")</f>
        <v>Citigroup</v>
      </c>
      <c r="S522" s="64">
        <f>IFERROR(__xludf.DUMMYFUNCTION("""COMPUTED_VALUE"""),44822.0)</f>
        <v>44822</v>
      </c>
      <c r="T522" s="70">
        <f>IFERROR(__xludf.DUMMYFUNCTION("""COMPUTED_VALUE"""),0.27945205479452057)</f>
        <v>0.2794520548</v>
      </c>
      <c r="U522" s="71" t="str">
        <f>IFERROR(__xludf.DUMMYFUNCTION("""COMPUTED_VALUE"""),"https://www.sec.gov/cgi-bin/browse-edgar?CIK=1819157")</f>
        <v>https://www.sec.gov/cgi-bin/browse-edgar?CIK=1819157</v>
      </c>
      <c r="V522" s="72" t="str">
        <f>IFERROR(__xludf.DUMMYFUNCTION("""COMPUTED_VALUE"""),"           Top Tier UW ")</f>
        <v>           Top Tier UW </v>
      </c>
      <c r="W522" s="73"/>
      <c r="X522" s="74"/>
      <c r="Y522" s="75"/>
      <c r="Z522" s="60"/>
      <c r="AA522" s="60"/>
      <c r="AB522" s="60"/>
      <c r="AC522" s="60"/>
      <c r="AD522" s="73"/>
      <c r="AE522" s="73"/>
      <c r="AF522" s="76"/>
      <c r="AG522" s="60" t="str">
        <f>IFERROR(__xludf.DUMMYFUNCTION("""COMPUTED_VALUE"""),"")</f>
        <v/>
      </c>
    </row>
    <row r="523">
      <c r="A523" s="54" t="str">
        <f>IFERROR(__xludf.DUMMYFUNCTION("""COMPUTED_VALUE"""),"NOAC")</f>
        <v>NOAC</v>
      </c>
      <c r="B523" s="55" t="str">
        <f>IFERROR(__xludf.DUMMYFUNCTION("""COMPUTED_VALUE"""),"Natural Order Acquisition Corp")</f>
        <v>Natural Order Acquisition Corp</v>
      </c>
      <c r="C523" s="56" t="str">
        <f>IFERROR(__xludf.DUMMYFUNCTION("""COMPUTED_VALUE"""),"Searching")</f>
        <v>Searching</v>
      </c>
      <c r="D523" s="57" t="str">
        <f>IFERROR(__xludf.DUMMYFUNCTION("""COMPUTED_VALUE"""),"Sustainable plant-based food and nutrition Tech &amp; Products")</f>
        <v>Sustainable plant-based food and nutrition Tech &amp; Products</v>
      </c>
      <c r="E523" s="58"/>
      <c r="F523" s="59"/>
      <c r="G523" s="60">
        <f>IFERROR(__xludf.DUMMYFUNCTION("""COMPUTED_VALUE"""),2.3E8)</f>
        <v>230000000</v>
      </c>
      <c r="H523" s="60">
        <f>IFERROR(__xludf.DUMMYFUNCTION("""COMPUTED_VALUE"""),2.941125E8)</f>
        <v>294112500</v>
      </c>
      <c r="I523" s="66">
        <f>IFERROR(__xludf.DUMMYFUNCTION("""COMPUTED_VALUE"""),10.23)</f>
        <v>10.23</v>
      </c>
      <c r="J523" s="62">
        <f>IFERROR(__xludf.DUMMYFUNCTION("""COMPUTED_VALUE"""),-0.02011)</f>
        <v>-0.02011</v>
      </c>
      <c r="K523" s="59">
        <f>IFERROR(__xludf.DUMMYFUNCTION("""COMPUTED_VALUE"""),11.28)</f>
        <v>11.28</v>
      </c>
      <c r="L523" s="87">
        <f>IFERROR(__xludf.DUMMYFUNCTION("""COMPUTED_VALUE"""),1.09)</f>
        <v>1.09</v>
      </c>
      <c r="M523" s="64" t="str">
        <f>IFERROR(__xludf.DUMMYFUNCTION("""COMPUTED_VALUE"""),"U: [1 W]; W: [2:1, $11.5]")</f>
        <v>U: [1 W]; W: [2:1, $11.5]</v>
      </c>
      <c r="N523" s="65" t="str">
        <f>IFERROR(__xludf.DUMMYFUNCTION("""COMPUTED_VALUE"""),"")</f>
        <v/>
      </c>
      <c r="O523" s="66">
        <f>IFERROR(__xludf.DUMMYFUNCTION("""COMPUTED_VALUE"""),0.0)</f>
        <v>0</v>
      </c>
      <c r="P523" s="67">
        <f>IFERROR(__xludf.DUMMYFUNCTION("""COMPUTED_VALUE"""),44146.0)</f>
        <v>44146</v>
      </c>
      <c r="Q523" s="68">
        <f>IFERROR(__xludf.DUMMYFUNCTION("""COMPUTED_VALUE"""),230.0)</f>
        <v>230</v>
      </c>
      <c r="R523" s="85" t="str">
        <f>IFERROR(__xludf.DUMMYFUNCTION("""COMPUTED_VALUE"""),"Chardan, Barclays")</f>
        <v>Chardan, Barclays</v>
      </c>
      <c r="S523" s="64">
        <f>IFERROR(__xludf.DUMMYFUNCTION("""COMPUTED_VALUE"""),44876.0)</f>
        <v>44876</v>
      </c>
      <c r="T523" s="70">
        <f>IFERROR(__xludf.DUMMYFUNCTION("""COMPUTED_VALUE"""),0.2054794520547945)</f>
        <v>0.2054794521</v>
      </c>
      <c r="U523" s="71" t="str">
        <f>IFERROR(__xludf.DUMMYFUNCTION("""COMPUTED_VALUE"""),"https://www.sec.gov/cgi-bin/browse-edgar?CIK=1824888")</f>
        <v>https://www.sec.gov/cgi-bin/browse-edgar?CIK=1824888</v>
      </c>
      <c r="V523" s="72" t="str">
        <f>IFERROR(__xludf.DUMMYFUNCTION("""COMPUTED_VALUE"""),"Sustainability            ")</f>
        <v>Sustainability            </v>
      </c>
      <c r="W523" s="73"/>
      <c r="X523" s="74"/>
      <c r="Y523" s="75"/>
      <c r="Z523" s="60"/>
      <c r="AA523" s="60"/>
      <c r="AB523" s="60"/>
      <c r="AC523" s="60"/>
      <c r="AD523" s="73"/>
      <c r="AE523" s="73"/>
      <c r="AF523" s="76"/>
      <c r="AG523" s="60" t="str">
        <f>IFERROR(__xludf.DUMMYFUNCTION("""COMPUTED_VALUE"""),"")</f>
        <v/>
      </c>
    </row>
    <row r="524">
      <c r="A524" s="54" t="str">
        <f>IFERROR(__xludf.DUMMYFUNCTION("""COMPUTED_VALUE"""),"NPA")</f>
        <v>NPA</v>
      </c>
      <c r="B524" s="55" t="str">
        <f>IFERROR(__xludf.DUMMYFUNCTION("""COMPUTED_VALUE"""),"New Providence Acquisition Corp")</f>
        <v>New Providence Acquisition Corp</v>
      </c>
      <c r="C524" s="56" t="str">
        <f>IFERROR(__xludf.DUMMYFUNCTION("""COMPUTED_VALUE"""),"Completed")</f>
        <v>Completed</v>
      </c>
      <c r="D524" s="57" t="str">
        <f>IFERROR(__xludf.DUMMYFUNCTION("""COMPUTED_VALUE"""),"Consumer Goods")</f>
        <v>Consumer Goods</v>
      </c>
      <c r="E524" s="58" t="str">
        <f>IFERROR(__xludf.DUMMYFUNCTION("""COMPUTED_VALUE"""),"AST and Science [DA: 12/16/20]")</f>
        <v>AST and Science [DA: 12/16/20]</v>
      </c>
      <c r="F524" s="59" t="str">
        <f>IFERROR(__xludf.DUMMYFUNCTION("""COMPUTED_VALUE"""),"Gary Smith (Fmr CEO, Big Red; Fmr COO Red Bull)")</f>
        <v>Gary Smith (Fmr CEO, Big Red; Fmr COO Red Bull)</v>
      </c>
      <c r="G524" s="60">
        <f>IFERROR(__xludf.DUMMYFUNCTION("""COMPUTED_VALUE"""),2.32255412E8)</f>
        <v>232255412</v>
      </c>
      <c r="H524" s="60">
        <f>IFERROR(__xludf.DUMMYFUNCTION("""COMPUTED_VALUE"""),2.668E8)</f>
        <v>266800000</v>
      </c>
      <c r="I524" s="66">
        <f>IFERROR(__xludf.DUMMYFUNCTION("""COMPUTED_VALUE"""),11.6)</f>
        <v>11.6</v>
      </c>
      <c r="J524" s="62"/>
      <c r="K524" s="59" t="str">
        <f>IFERROR(__xludf.DUMMYFUNCTION("""COMPUTED_VALUE""")," ")</f>
        <v> </v>
      </c>
      <c r="L524" s="87">
        <f>IFERROR(__xludf.DUMMYFUNCTION("""COMPUTED_VALUE"""),3.89)</f>
        <v>3.89</v>
      </c>
      <c r="M524" s="64" t="str">
        <f>IFERROR(__xludf.DUMMYFUNCTION("""COMPUTED_VALUE"""),"U: [1/2 W]; W: [1:1, $11.5]")</f>
        <v>U: [1/2 W]; W: [1:1, $11.5]</v>
      </c>
      <c r="N524" s="65" t="str">
        <f>IFERROR(__xludf.DUMMYFUNCTION("""COMPUTED_VALUE"""),"")</f>
        <v/>
      </c>
      <c r="O524" s="66">
        <f>IFERROR(__xludf.DUMMYFUNCTION("""COMPUTED_VALUE"""),0.09999999999999964)</f>
        <v>0.1</v>
      </c>
      <c r="P524" s="67">
        <f>IFERROR(__xludf.DUMMYFUNCTION("""COMPUTED_VALUE"""),43719.0)</f>
        <v>43719</v>
      </c>
      <c r="Q524" s="68">
        <f>IFERROR(__xludf.DUMMYFUNCTION("""COMPUTED_VALUE"""),230.0)</f>
        <v>230</v>
      </c>
      <c r="R524" s="69" t="str">
        <f>IFERROR(__xludf.DUMMYFUNCTION("""COMPUTED_VALUE"""),"BTIG, I-Bankers")</f>
        <v>BTIG, I-Bankers</v>
      </c>
      <c r="S524" s="64">
        <f>IFERROR(__xludf.DUMMYFUNCTION("""COMPUTED_VALUE"""),44362.0)</f>
        <v>44362</v>
      </c>
      <c r="T524" s="70">
        <f>IFERROR(__xludf.DUMMYFUNCTION("""COMPUTED_VALUE"""),0.8973561430793157)</f>
        <v>0.8973561431</v>
      </c>
      <c r="U524" s="71" t="str">
        <f>IFERROR(__xludf.DUMMYFUNCTION("""COMPUTED_VALUE"""),"https://www.sec.gov/cgi-bin/browse-edgar?CIK=1780312")</f>
        <v>https://www.sec.gov/cgi-bin/browse-edgar?CIK=1780312</v>
      </c>
      <c r="V524" s="72" t="str">
        <f>IFERROR(__xludf.DUMMYFUNCTION("""COMPUTED_VALUE"""),"Aerospace     Optionable       ")</f>
        <v>Aerospace     Optionable       </v>
      </c>
      <c r="W524" s="73">
        <f>IFERROR(__xludf.DUMMYFUNCTION("""COMPUTED_VALUE"""),44181.0)</f>
        <v>44181</v>
      </c>
      <c r="X524" s="79">
        <f>IFERROR(__xludf.DUMMYFUNCTION("""COMPUTED_VALUE"""),15.4)</f>
        <v>15.4</v>
      </c>
      <c r="Y524" s="80" t="str">
        <f>IFERROR(__xludf.DUMMYFUNCTION("""COMPUTED_VALUE"""),"https://www.prnewswire.com/news-releases/ast--science-llc-to-become-public-company-through-combination-with-new-providence-acquisition-corp--nasdaq-npa-npauu-and-npaww-301193934.html")</f>
        <v>https://www.prnewswire.com/news-releases/ast--science-llc-to-become-public-company-through-combination-with-new-providence-acquisition-corp--nasdaq-npa-npauu-and-npaww-301193934.html</v>
      </c>
      <c r="Z524" s="81" t="str">
        <f>IFERROR(__xludf.DUMMYFUNCTION("""COMPUTED_VALUE"""),"https://www.sec.gov/Archives/edgar/data/1780312/000121390020042897/ea131629ex99-2_newprovidence.htm")</f>
        <v>https://www.sec.gov/Archives/edgar/data/1780312/000121390020042897/ea131629ex99-2_newprovidence.htm</v>
      </c>
      <c r="AA524" s="60">
        <f>IFERROR(__xludf.DUMMYFUNCTION("""COMPUTED_VALUE"""),2.3E8)</f>
        <v>230000000</v>
      </c>
      <c r="AB524" s="60">
        <f>IFERROR(__xludf.DUMMYFUNCTION("""COMPUTED_VALUE"""),1.816E9)</f>
        <v>1816000000</v>
      </c>
      <c r="AC524" s="60">
        <f>IFERROR(__xludf.DUMMYFUNCTION("""COMPUTED_VALUE"""),1.392E9)</f>
        <v>1392000000</v>
      </c>
      <c r="AD524" s="73">
        <f>IFERROR(__xludf.DUMMYFUNCTION("""COMPUTED_VALUE"""),44287.0)</f>
        <v>44287</v>
      </c>
      <c r="AE524" s="73"/>
      <c r="AF524" s="76">
        <f>IFERROR(__xludf.DUMMYFUNCTION("""COMPUTED_VALUE"""),1.816E8)</f>
        <v>181600000</v>
      </c>
      <c r="AG524" s="60">
        <f>IFERROR(__xludf.DUMMYFUNCTION("""COMPUTED_VALUE"""),2.10656E9)</f>
        <v>2106560000</v>
      </c>
    </row>
    <row r="525">
      <c r="A525" s="88" t="str">
        <f>IFERROR(__xludf.DUMMYFUNCTION("""COMPUTED_VALUE"""),"NPAB")</f>
        <v>NPAB</v>
      </c>
      <c r="B525" s="55" t="str">
        <f>IFERROR(__xludf.DUMMYFUNCTION("""COMPUTED_VALUE"""),"New Providence Acquisition Corp. II")</f>
        <v>New Providence Acquisition Corp. II</v>
      </c>
      <c r="C525" s="56" t="str">
        <f>IFERROR(__xludf.DUMMYFUNCTION("""COMPUTED_VALUE"""),"Pre IPO")</f>
        <v>Pre IPO</v>
      </c>
      <c r="D525" s="77" t="str">
        <f>IFERROR(__xludf.DUMMYFUNCTION("""COMPUTED_VALUE"""),"Consumer")</f>
        <v>Consumer</v>
      </c>
      <c r="E525" s="58"/>
      <c r="F525" s="59" t="str">
        <f>IFERROR(__xludf.DUMMYFUNCTION("""COMPUTED_VALUE"""),"Gary Smith (Former COO of Red Bull), Timothy Gannon (Co-Founder of Outback Steakhouse)")</f>
        <v>Gary Smith (Former COO of Red Bull), Timothy Gannon (Co-Founder of Outback Steakhouse)</v>
      </c>
      <c r="G525" s="60">
        <f>IFERROR(__xludf.DUMMYFUNCTION("""COMPUTED_VALUE"""),2.0E8)</f>
        <v>200000000</v>
      </c>
      <c r="H525" s="60" t="str">
        <f>IFERROR(__xludf.DUMMYFUNCTION("""COMPUTED_VALUE""")," ")</f>
        <v> </v>
      </c>
      <c r="I525" s="66" t="str">
        <f>IFERROR(__xludf.DUMMYFUNCTION("""COMPUTED_VALUE""")," ")</f>
        <v> </v>
      </c>
      <c r="J525" s="62" t="str">
        <f>IFERROR(__xludf.DUMMYFUNCTION("""COMPUTED_VALUE""")," ")</f>
        <v> </v>
      </c>
      <c r="K525" s="59" t="str">
        <f>IFERROR(__xludf.DUMMYFUNCTION("""COMPUTED_VALUE""")," ")</f>
        <v> </v>
      </c>
      <c r="L525" s="87" t="str">
        <f>IFERROR(__xludf.DUMMYFUNCTION("""COMPUTED_VALUE""")," ")</f>
        <v> </v>
      </c>
      <c r="M525" s="64" t="str">
        <f>IFERROR(__xludf.DUMMYFUNCTION("""COMPUTED_VALUE"""),"U: [1/3 W]; W: [1:1, $11.5]")</f>
        <v>U: [1/3 W]; W: [1:1, $11.5]</v>
      </c>
      <c r="N525" s="65" t="str">
        <f>IFERROR(__xludf.DUMMYFUNCTION("""COMPUTED_VALUE"""),"")</f>
        <v/>
      </c>
      <c r="O525" s="66">
        <f>IFERROR(__xludf.DUMMYFUNCTION("""COMPUTED_VALUE"""),0.0)</f>
        <v>0</v>
      </c>
      <c r="P525" s="67"/>
      <c r="Q525" s="68">
        <f>IFERROR(__xludf.DUMMYFUNCTION("""COMPUTED_VALUE"""),200.0)</f>
        <v>200</v>
      </c>
      <c r="R525" s="69" t="str">
        <f>IFERROR(__xludf.DUMMYFUNCTION("""COMPUTED_VALUE"""),"Deutsche Bank Securities")</f>
        <v>Deutsche Bank Securities</v>
      </c>
      <c r="S525" s="64">
        <f>IFERROR(__xludf.DUMMYFUNCTION("""COMPUTED_VALUE"""),45086.0)</f>
        <v>45086</v>
      </c>
      <c r="T525" s="70" t="str">
        <f>IFERROR(__xludf.DUMMYFUNCTION("""COMPUTED_VALUE"""),"")</f>
        <v/>
      </c>
      <c r="U525" s="71" t="str">
        <f>IFERROR(__xludf.DUMMYFUNCTION("""COMPUTED_VALUE"""),"https://www.sec.gov/cgi-bin/browse-edgar?CIK=1837929")</f>
        <v>https://www.sec.gov/cgi-bin/browse-edgar?CIK=1837929</v>
      </c>
      <c r="V525" s="72" t="str">
        <f>IFERROR(__xludf.DUMMYFUNCTION("""COMPUTED_VALUE"""),"            ")</f>
        <v>            </v>
      </c>
      <c r="W525" s="73"/>
      <c r="X525" s="74"/>
      <c r="Y525" s="75"/>
      <c r="Z525" s="60"/>
      <c r="AA525" s="60"/>
      <c r="AB525" s="60"/>
      <c r="AC525" s="60"/>
      <c r="AD525" s="73"/>
      <c r="AE525" s="73"/>
      <c r="AF525" s="76"/>
      <c r="AG525" s="60"/>
    </row>
    <row r="526">
      <c r="A526" s="88" t="str">
        <f>IFERROR(__xludf.DUMMYFUNCTION("""COMPUTED_VALUE"""),"NPAC")</f>
        <v>NPAC</v>
      </c>
      <c r="B526" s="55" t="str">
        <f>IFERROR(__xludf.DUMMYFUNCTION("""COMPUTED_VALUE"""),"New Providence Acquisition Corp. III")</f>
        <v>New Providence Acquisition Corp. III</v>
      </c>
      <c r="C526" s="56" t="str">
        <f>IFERROR(__xludf.DUMMYFUNCTION("""COMPUTED_VALUE"""),"Pre IPO")</f>
        <v>Pre IPO</v>
      </c>
      <c r="D526" s="77" t="str">
        <f>IFERROR(__xludf.DUMMYFUNCTION("""COMPUTED_VALUE"""),"Consumer")</f>
        <v>Consumer</v>
      </c>
      <c r="E526" s="58"/>
      <c r="F526" s="59" t="str">
        <f>IFERROR(__xludf.DUMMYFUNCTION("""COMPUTED_VALUE"""),"Gary Smith (Former COO of Red Bull)")</f>
        <v>Gary Smith (Former COO of Red Bull)</v>
      </c>
      <c r="G526" s="60">
        <f>IFERROR(__xludf.DUMMYFUNCTION("""COMPUTED_VALUE"""),3.0E8)</f>
        <v>300000000</v>
      </c>
      <c r="H526" s="60" t="str">
        <f>IFERROR(__xludf.DUMMYFUNCTION("""COMPUTED_VALUE""")," ")</f>
        <v> </v>
      </c>
      <c r="I526" s="66" t="str">
        <f>IFERROR(__xludf.DUMMYFUNCTION("""COMPUTED_VALUE""")," ")</f>
        <v> </v>
      </c>
      <c r="J526" s="62" t="str">
        <f>IFERROR(__xludf.DUMMYFUNCTION("""COMPUTED_VALUE""")," ")</f>
        <v> </v>
      </c>
      <c r="K526" s="59" t="str">
        <f>IFERROR(__xludf.DUMMYFUNCTION("""COMPUTED_VALUE""")," ")</f>
        <v> </v>
      </c>
      <c r="L526" s="87" t="str">
        <f>IFERROR(__xludf.DUMMYFUNCTION("""COMPUTED_VALUE""")," ")</f>
        <v> </v>
      </c>
      <c r="M526" s="64" t="str">
        <f>IFERROR(__xludf.DUMMYFUNCTION("""COMPUTED_VALUE"""),"U: [1/3 W]; W: [1:1, $11.5]")</f>
        <v>U: [1/3 W]; W: [1:1, $11.5]</v>
      </c>
      <c r="N526" s="65" t="str">
        <f>IFERROR(__xludf.DUMMYFUNCTION("""COMPUTED_VALUE"""),"")</f>
        <v/>
      </c>
      <c r="O526" s="66">
        <f>IFERROR(__xludf.DUMMYFUNCTION("""COMPUTED_VALUE"""),0.0)</f>
        <v>0</v>
      </c>
      <c r="P526" s="67"/>
      <c r="Q526" s="68">
        <f>IFERROR(__xludf.DUMMYFUNCTION("""COMPUTED_VALUE"""),300.0)</f>
        <v>300</v>
      </c>
      <c r="R526" s="69" t="str">
        <f>IFERROR(__xludf.DUMMYFUNCTION("""COMPUTED_VALUE"""),"Deutsche Bank Securities")</f>
        <v>Deutsche Bank Securities</v>
      </c>
      <c r="S526" s="64">
        <f>IFERROR(__xludf.DUMMYFUNCTION("""COMPUTED_VALUE"""),45086.0)</f>
        <v>45086</v>
      </c>
      <c r="T526" s="70" t="str">
        <f>IFERROR(__xludf.DUMMYFUNCTION("""COMPUTED_VALUE"""),"")</f>
        <v/>
      </c>
      <c r="U526" s="71" t="str">
        <f>IFERROR(__xludf.DUMMYFUNCTION("""COMPUTED_VALUE"""),"https://www.sec.gov/cgi-bin/browse-edgar?CIK=1844004")</f>
        <v>https://www.sec.gov/cgi-bin/browse-edgar?CIK=1844004</v>
      </c>
      <c r="V526" s="72" t="str">
        <f>IFERROR(__xludf.DUMMYFUNCTION("""COMPUTED_VALUE"""),"            ")</f>
        <v>            </v>
      </c>
      <c r="W526" s="73"/>
      <c r="X526" s="74"/>
      <c r="Y526" s="75"/>
      <c r="Z526" s="60"/>
      <c r="AA526" s="60"/>
      <c r="AB526" s="60"/>
      <c r="AC526" s="60"/>
      <c r="AD526" s="73"/>
      <c r="AE526" s="73"/>
      <c r="AF526" s="76"/>
      <c r="AG526" s="60"/>
    </row>
    <row r="527">
      <c r="A527" s="54" t="str">
        <f>IFERROR(__xludf.DUMMYFUNCTION("""COMPUTED_VALUE"""),"NRAC")</f>
        <v>NRAC</v>
      </c>
      <c r="B527" s="55" t="str">
        <f>IFERROR(__xludf.DUMMYFUNCTION("""COMPUTED_VALUE"""),"Noble Rock Acquisition Corporation")</f>
        <v>Noble Rock Acquisition Corporation</v>
      </c>
      <c r="C527" s="56" t="str">
        <f>IFERROR(__xludf.DUMMYFUNCTION("""COMPUTED_VALUE"""),"Searching")</f>
        <v>Searching</v>
      </c>
      <c r="D527" s="57" t="str">
        <f>IFERROR(__xludf.DUMMYFUNCTION("""COMPUTED_VALUE"""),"Software, Tech")</f>
        <v>Software, Tech</v>
      </c>
      <c r="E527" s="58"/>
      <c r="F527" s="59" t="str">
        <f>IFERROR(__xludf.DUMMYFUNCTION("""COMPUTED_VALUE"""),"David Habiger (CEO, J.D. Power; Director, GrubHub, and Stamps.com)")</f>
        <v>David Habiger (CEO, J.D. Power; Director, GrubHub, and Stamps.com)</v>
      </c>
      <c r="G527" s="60">
        <f>IFERROR(__xludf.DUMMYFUNCTION("""COMPUTED_VALUE"""),2.415E8)</f>
        <v>241500000</v>
      </c>
      <c r="H527" s="60">
        <f>IFERROR(__xludf.DUMMYFUNCTION("""COMPUTED_VALUE"""),2.394714E8)</f>
        <v>239471400</v>
      </c>
      <c r="I527" s="66">
        <f>IFERROR(__xludf.DUMMYFUNCTION("""COMPUTED_VALUE"""),9.916)</f>
        <v>9.916</v>
      </c>
      <c r="J527" s="62">
        <f>IFERROR(__xludf.DUMMYFUNCTION("""COMPUTED_VALUE"""),-0.00241)</f>
        <v>-0.00241</v>
      </c>
      <c r="K527" s="59">
        <f>IFERROR(__xludf.DUMMYFUNCTION("""COMPUTED_VALUE"""),10.02)</f>
        <v>10.02</v>
      </c>
      <c r="L527" s="87">
        <f>IFERROR(__xludf.DUMMYFUNCTION("""COMPUTED_VALUE"""),0.79)</f>
        <v>0.79</v>
      </c>
      <c r="M527" s="64" t="str">
        <f>IFERROR(__xludf.DUMMYFUNCTION("""COMPUTED_VALUE"""),"U: [1/3 W]; W: [1:1, $11.5]")</f>
        <v>U: [1/3 W]; W: [1:1, $11.5]</v>
      </c>
      <c r="N527" s="65" t="str">
        <f>IFERROR(__xludf.DUMMYFUNCTION("""COMPUTED_VALUE"""),"")</f>
        <v/>
      </c>
      <c r="O527" s="66">
        <f>IFERROR(__xludf.DUMMYFUNCTION("""COMPUTED_VALUE"""),0.0)</f>
        <v>0</v>
      </c>
      <c r="P527" s="67">
        <f>IFERROR(__xludf.DUMMYFUNCTION("""COMPUTED_VALUE"""),44228.0)</f>
        <v>44228</v>
      </c>
      <c r="Q527" s="68">
        <f>IFERROR(__xludf.DUMMYFUNCTION("""COMPUTED_VALUE"""),241.5)</f>
        <v>241.5</v>
      </c>
      <c r="R527" s="69" t="str">
        <f>IFERROR(__xludf.DUMMYFUNCTION("""COMPUTED_VALUE"""),"Stifel, Oppenheimer &amp; Co, William Blair")</f>
        <v>Stifel, Oppenheimer &amp; Co, William Blair</v>
      </c>
      <c r="S527" s="64">
        <f>IFERROR(__xludf.DUMMYFUNCTION("""COMPUTED_VALUE"""),44958.0)</f>
        <v>44958</v>
      </c>
      <c r="T527" s="70">
        <f>IFERROR(__xludf.DUMMYFUNCTION("""COMPUTED_VALUE"""),0.09315068493150686)</f>
        <v>0.09315068493</v>
      </c>
      <c r="U527" s="71" t="str">
        <f>IFERROR(__xludf.DUMMYFUNCTION("""COMPUTED_VALUE"""),"https://www.sec.gov/cgi-bin/browse-edgar?CIK=1831964")</f>
        <v>https://www.sec.gov/cgi-bin/browse-edgar?CIK=1831964</v>
      </c>
      <c r="V527" s="72" t="str">
        <f>IFERROR(__xludf.DUMMYFUNCTION("""COMPUTED_VALUE""")," Trading Below $10 (Common)        Well-known Sponsor   ")</f>
        <v> Trading Below $10 (Common)        Well-known Sponsor   </v>
      </c>
      <c r="W527" s="73"/>
      <c r="X527" s="74"/>
      <c r="Y527" s="75"/>
      <c r="Z527" s="60"/>
      <c r="AA527" s="60"/>
      <c r="AB527" s="60"/>
      <c r="AC527" s="60"/>
      <c r="AD527" s="73"/>
      <c r="AE527" s="73"/>
      <c r="AF527" s="76"/>
      <c r="AG527" s="60" t="str">
        <f>IFERROR(__xludf.DUMMYFUNCTION("""COMPUTED_VALUE"""),"")</f>
        <v/>
      </c>
    </row>
    <row r="528">
      <c r="A528" s="54" t="str">
        <f>IFERROR(__xludf.DUMMYFUNCTION("""COMPUTED_VALUE"""),"NSH")</f>
        <v>NSH</v>
      </c>
      <c r="B528" s="55" t="str">
        <f>IFERROR(__xludf.DUMMYFUNCTION("""COMPUTED_VALUE"""),"NavSight Holdings, Inc.")</f>
        <v>NavSight Holdings, Inc.</v>
      </c>
      <c r="C528" s="56" t="str">
        <f>IFERROR(__xludf.DUMMYFUNCTION("""COMPUTED_VALUE"""),"Definitive Agreement")</f>
        <v>Definitive Agreement</v>
      </c>
      <c r="D528" s="57" t="str">
        <f>IFERROR(__xludf.DUMMYFUNCTION("""COMPUTED_VALUE"""),"Tech, US Government Vendors")</f>
        <v>Tech, US Government Vendors</v>
      </c>
      <c r="E528" s="58" t="str">
        <f>IFERROR(__xludf.DUMMYFUNCTION("""COMPUTED_VALUE"""),"Spire Global [DA: 03/01/21]")</f>
        <v>Spire Global [DA: 03/01/21]</v>
      </c>
      <c r="F528" s="59"/>
      <c r="G528" s="60">
        <f>IFERROR(__xludf.DUMMYFUNCTION("""COMPUTED_VALUE"""),2.30007324E8)</f>
        <v>230007324</v>
      </c>
      <c r="H528" s="60">
        <f>IFERROR(__xludf.DUMMYFUNCTION("""COMPUTED_VALUE"""),2.2977E8)</f>
        <v>229770000</v>
      </c>
      <c r="I528" s="66">
        <f>IFERROR(__xludf.DUMMYFUNCTION("""COMPUTED_VALUE"""),9.99)</f>
        <v>9.99</v>
      </c>
      <c r="J528" s="62">
        <f>IFERROR(__xludf.DUMMYFUNCTION("""COMPUTED_VALUE"""),0.00201)</f>
        <v>0.00201</v>
      </c>
      <c r="K528" s="59">
        <f>IFERROR(__xludf.DUMMYFUNCTION("""COMPUTED_VALUE"""),10.7)</f>
        <v>10.7</v>
      </c>
      <c r="L528" s="87">
        <f>IFERROR(__xludf.DUMMYFUNCTION("""COMPUTED_VALUE"""),1.5399)</f>
        <v>1.5399</v>
      </c>
      <c r="M528" s="64" t="str">
        <f>IFERROR(__xludf.DUMMYFUNCTION("""COMPUTED_VALUE"""),"U: [1/2 W]; W: [1:1, $11.5]")</f>
        <v>U: [1/2 W]; W: [1:1, $11.5]</v>
      </c>
      <c r="N528" s="65" t="str">
        <f>IFERROR(__xludf.DUMMYFUNCTION("""COMPUTED_VALUE"""),"")</f>
        <v/>
      </c>
      <c r="O528" s="66">
        <f>IFERROR(__xludf.DUMMYFUNCTION("""COMPUTED_VALUE"""),0.0)</f>
        <v>0</v>
      </c>
      <c r="P528" s="67">
        <f>IFERROR(__xludf.DUMMYFUNCTION("""COMPUTED_VALUE"""),44083.0)</f>
        <v>44083</v>
      </c>
      <c r="Q528" s="68">
        <f>IFERROR(__xludf.DUMMYFUNCTION("""COMPUTED_VALUE"""),230.0)</f>
        <v>230</v>
      </c>
      <c r="R528" s="85" t="str">
        <f>IFERROR(__xludf.DUMMYFUNCTION("""COMPUTED_VALUE"""),"Credit Suisse
")</f>
        <v>Credit Suisse
</v>
      </c>
      <c r="S528" s="64">
        <f>IFERROR(__xludf.DUMMYFUNCTION("""COMPUTED_VALUE"""),44813.0)</f>
        <v>44813</v>
      </c>
      <c r="T528" s="70">
        <f>IFERROR(__xludf.DUMMYFUNCTION("""COMPUTED_VALUE"""),0.29178082191780824)</f>
        <v>0.2917808219</v>
      </c>
      <c r="U528" s="71" t="str">
        <f>IFERROR(__xludf.DUMMYFUNCTION("""COMPUTED_VALUE"""),"https://www.sec.gov/cgi-bin/browse-edgar?CIK=1816017")</f>
        <v>https://www.sec.gov/cgi-bin/browse-edgar?CIK=1816017</v>
      </c>
      <c r="V528" s="72" t="str">
        <f>IFERROR(__xludf.DUMMYFUNCTION("""COMPUTED_VALUE""")," Trading Below $10 (Common)           ")</f>
        <v> Trading Below $10 (Common)           </v>
      </c>
      <c r="W528" s="73">
        <f>IFERROR(__xludf.DUMMYFUNCTION("""COMPUTED_VALUE"""),44256.0)</f>
        <v>44256</v>
      </c>
      <c r="X528" s="79">
        <f>IFERROR(__xludf.DUMMYFUNCTION("""COMPUTED_VALUE"""),5.766666666666667)</f>
        <v>5.766666667</v>
      </c>
      <c r="Y528" s="80" t="str">
        <f>IFERROR(__xludf.DUMMYFUNCTION("""COMPUTED_VALUE"""),"https://www.businesswire.com/news/home/20210301005279/en/Spire-Global-Inc.-a-Leading-Global-Provider-of-Space-Based-Data-and-Analytics-to-Go-Public-Through-a-Merger-with-NavSight-Holdings-Inc.")</f>
        <v>https://www.businesswire.com/news/home/20210301005279/en/Spire-Global-Inc.-a-Leading-Global-Provider-of-Space-Based-Data-and-Analytics-to-Go-Public-Through-a-Merger-with-NavSight-Holdings-Inc.</v>
      </c>
      <c r="Z528" s="81" t="str">
        <f>IFERROR(__xludf.DUMMYFUNCTION("""COMPUTED_VALUE"""),"https://www.sec.gov/Archives/edgar/data/1816017/000119312521063887/d655535dex992.htm")</f>
        <v>https://www.sec.gov/Archives/edgar/data/1816017/000119312521063887/d655535dex992.htm</v>
      </c>
      <c r="AA528" s="60">
        <f>IFERROR(__xludf.DUMMYFUNCTION("""COMPUTED_VALUE"""),2.45E8)</f>
        <v>245000000</v>
      </c>
      <c r="AB528" s="60">
        <f>IFERROR(__xludf.DUMMYFUNCTION("""COMPUTED_VALUE"""),1.637E9)</f>
        <v>1637000000</v>
      </c>
      <c r="AC528" s="60">
        <f>IFERROR(__xludf.DUMMYFUNCTION("""COMPUTED_VALUE"""),1.23E9)</f>
        <v>1230000000</v>
      </c>
      <c r="AD528" s="73"/>
      <c r="AE528" s="73"/>
      <c r="AF528" s="76">
        <f>IFERROR(__xludf.DUMMYFUNCTION("""COMPUTED_VALUE"""),1.637E8)</f>
        <v>163700000</v>
      </c>
      <c r="AG528" s="60">
        <f>IFERROR(__xludf.DUMMYFUNCTION("""COMPUTED_VALUE"""),1.635363E9)</f>
        <v>1635363000</v>
      </c>
    </row>
    <row r="529">
      <c r="A529" s="54" t="str">
        <f>IFERROR(__xludf.DUMMYFUNCTION("""COMPUTED_VALUE"""),"NSTB")</f>
        <v>NSTB</v>
      </c>
      <c r="B529" s="55" t="str">
        <f>IFERROR(__xludf.DUMMYFUNCTION("""COMPUTED_VALUE"""),"Northern Star Investment Corp. II")</f>
        <v>Northern Star Investment Corp. II</v>
      </c>
      <c r="C529" s="56" t="str">
        <f>IFERROR(__xludf.DUMMYFUNCTION("""COMPUTED_VALUE"""),"Definitive Agreement")</f>
        <v>Definitive Agreement</v>
      </c>
      <c r="D529" s="57" t="str">
        <f>IFERROR(__xludf.DUMMYFUNCTION("""COMPUTED_VALUE"""),"Beauty, wellness, self-care, fashion, e-commerce, digital media")</f>
        <v>Beauty, wellness, self-care, fashion, e-commerce, digital media</v>
      </c>
      <c r="E529" s="58" t="str">
        <f>IFERROR(__xludf.DUMMYFUNCTION("""COMPUTED_VALUE"""),"Apex Clearing [DA: 02/22/21]")</f>
        <v>Apex Clearing [DA: 02/22/21]</v>
      </c>
      <c r="F529" s="59" t="str">
        <f>IFERROR(__xludf.DUMMYFUNCTION("""COMPUTED_VALUE"""),"Jonathan Ledecky (Co-owner New York Islanders; CEO, PIC), Joanna Coles (Fmr Editor-in-Chief, Cosmopolitan; Director, Snapchat and Sonos), Maryann Turcke (Fmr COO, NFL)")</f>
        <v>Jonathan Ledecky (Co-owner New York Islanders; CEO, PIC), Joanna Coles (Fmr Editor-in-Chief, Cosmopolitan; Director, Snapchat and Sonos), Maryann Turcke (Fmr COO, NFL)</v>
      </c>
      <c r="G529" s="60">
        <f>IFERROR(__xludf.DUMMYFUNCTION("""COMPUTED_VALUE"""),4.0E8)</f>
        <v>400000000</v>
      </c>
      <c r="H529" s="60">
        <f>IFERROR(__xludf.DUMMYFUNCTION("""COMPUTED_VALUE"""),4.032E8)</f>
        <v>403200000</v>
      </c>
      <c r="I529" s="66">
        <f>IFERROR(__xludf.DUMMYFUNCTION("""COMPUTED_VALUE"""),10.08)</f>
        <v>10.08</v>
      </c>
      <c r="J529" s="62">
        <f>IFERROR(__xludf.DUMMYFUNCTION("""COMPUTED_VALUE"""),0.00599)</f>
        <v>0.00599</v>
      </c>
      <c r="K529" s="59">
        <f>IFERROR(__xludf.DUMMYFUNCTION("""COMPUTED_VALUE"""),10.28)</f>
        <v>10.28</v>
      </c>
      <c r="L529" s="87">
        <f>IFERROR(__xludf.DUMMYFUNCTION("""COMPUTED_VALUE"""),1.47)</f>
        <v>1.47</v>
      </c>
      <c r="M529" s="64" t="str">
        <f>IFERROR(__xludf.DUMMYFUNCTION("""COMPUTED_VALUE"""),"U: [1/5 W]; W: [1:1, $11.5]")</f>
        <v>U: [1/5 W]; W: [1:1, $11.5]</v>
      </c>
      <c r="N529" s="65">
        <f>IFERROR(__xludf.DUMMYFUNCTION("""COMPUTED_VALUE"""),44238.0)</f>
        <v>44238</v>
      </c>
      <c r="O529" s="66">
        <f>IFERROR(__xludf.DUMMYFUNCTION("""COMPUTED_VALUE"""),0.0)</f>
        <v>0</v>
      </c>
      <c r="P529" s="67">
        <f>IFERROR(__xludf.DUMMYFUNCTION("""COMPUTED_VALUE"""),44221.0)</f>
        <v>44221</v>
      </c>
      <c r="Q529" s="68">
        <f>IFERROR(__xludf.DUMMYFUNCTION("""COMPUTED_VALUE"""),400.0)</f>
        <v>400</v>
      </c>
      <c r="R529" s="69" t="str">
        <f>IFERROR(__xludf.DUMMYFUNCTION("""COMPUTED_VALUE"""),"Citigroup")</f>
        <v>Citigroup</v>
      </c>
      <c r="S529" s="64">
        <f>IFERROR(__xludf.DUMMYFUNCTION("""COMPUTED_VALUE"""),44951.0)</f>
        <v>44951</v>
      </c>
      <c r="T529" s="70">
        <f>IFERROR(__xludf.DUMMYFUNCTION("""COMPUTED_VALUE"""),0.10273972602739725)</f>
        <v>0.102739726</v>
      </c>
      <c r="U529" s="71" t="str">
        <f>IFERROR(__xludf.DUMMYFUNCTION("""COMPUTED_VALUE"""),"https://www.sec.gov/cgi-bin/browse-edgar?CIK=1834518")</f>
        <v>https://www.sec.gov/cgi-bin/browse-edgar?CIK=1834518</v>
      </c>
      <c r="V529" s="72" t="str">
        <f>IFERROR(__xludf.DUMMYFUNCTION("""COMPUTED_VALUE"""),"         Well-known Sponsor Serial Sponsor Top Tier UW ")</f>
        <v>         Well-known Sponsor Serial Sponsor Top Tier UW </v>
      </c>
      <c r="W529" s="73">
        <f>IFERROR(__xludf.DUMMYFUNCTION("""COMPUTED_VALUE"""),44249.0)</f>
        <v>44249</v>
      </c>
      <c r="X529" s="79">
        <f>IFERROR(__xludf.DUMMYFUNCTION("""COMPUTED_VALUE"""),0.9333333333333333)</f>
        <v>0.9333333333</v>
      </c>
      <c r="Y529" s="80" t="str">
        <f>IFERROR(__xludf.DUMMYFUNCTION("""COMPUTED_VALUE"""),"https://www.businesswire.com/news/home/20210222005281/en/Leading-Fintech-Apex-Clearing-Holdings-to-List-on-NYSE-Through-Merger-With-Northern-Star-Investment-Corp.-II")</f>
        <v>https://www.businesswire.com/news/home/20210222005281/en/Leading-Fintech-Apex-Clearing-Holdings-to-List-on-NYSE-Through-Merger-With-Northern-Star-Investment-Corp.-II</v>
      </c>
      <c r="Z529" s="81" t="str">
        <f>IFERROR(__xludf.DUMMYFUNCTION("""COMPUTED_VALUE"""),"https://www.sec.gov/Archives/edgar/data/1834518/000119312521049862/d137294dex992.htm")</f>
        <v>https://www.sec.gov/Archives/edgar/data/1834518/000119312521049862/d137294dex992.htm</v>
      </c>
      <c r="AA529" s="60">
        <f>IFERROR(__xludf.DUMMYFUNCTION("""COMPUTED_VALUE"""),4.5E7)</f>
        <v>45000000</v>
      </c>
      <c r="AB529" s="60">
        <f>IFERROR(__xludf.DUMMYFUNCTION("""COMPUTED_VALUE"""),5.65E9)</f>
        <v>5650000000</v>
      </c>
      <c r="AC529" s="60">
        <f>IFERROR(__xludf.DUMMYFUNCTION("""COMPUTED_VALUE"""),4.662E9)</f>
        <v>4662000000</v>
      </c>
      <c r="AD529" s="73"/>
      <c r="AE529" s="73"/>
      <c r="AF529" s="76">
        <f>IFERROR(__xludf.DUMMYFUNCTION("""COMPUTED_VALUE"""),5.65E8)</f>
        <v>565000000</v>
      </c>
      <c r="AG529" s="60">
        <f>IFERROR(__xludf.DUMMYFUNCTION("""COMPUTED_VALUE"""),5.6952E9)</f>
        <v>5695200000</v>
      </c>
    </row>
    <row r="530">
      <c r="A530" s="54" t="str">
        <f>IFERROR(__xludf.DUMMYFUNCTION("""COMPUTED_VALUE"""),"NSTC")</f>
        <v>NSTC</v>
      </c>
      <c r="B530" s="55" t="str">
        <f>IFERROR(__xludf.DUMMYFUNCTION("""COMPUTED_VALUE"""),"Northern Star Investment Corp. III")</f>
        <v>Northern Star Investment Corp. III</v>
      </c>
      <c r="C530" s="56" t="str">
        <f>IFERROR(__xludf.DUMMYFUNCTION("""COMPUTED_VALUE"""),"Searching (Pre Unit Split)")</f>
        <v>Searching (Pre Unit Split)</v>
      </c>
      <c r="D530" s="77" t="str">
        <f>IFERROR(__xludf.DUMMYFUNCTION("""COMPUTED_VALUE"""),"Direct-to-Consumer, e-commerce")</f>
        <v>Direct-to-Consumer, e-commerce</v>
      </c>
      <c r="E530" s="58"/>
      <c r="F530" s="59" t="str">
        <f>IFERROR(__xludf.DUMMYFUNCTION("""COMPUTED_VALUE"""),"Jonathan Ledecky (Co-owner New York Islanders; CEO, PIC), Joanna Coles (Fmr Editor-in-Chief, Cosmopolitan; Director, Snapchat and Sonos)
")</f>
        <v>Jonathan Ledecky (Co-owner New York Islanders; CEO, PIC), Joanna Coles (Fmr Editor-in-Chief, Cosmopolitan; Director, Snapchat and Sonos)
</v>
      </c>
      <c r="G530" s="60">
        <f>IFERROR(__xludf.DUMMYFUNCTION("""COMPUTED_VALUE"""),3.5E8)</f>
        <v>350000000</v>
      </c>
      <c r="H530" s="60" t="str">
        <f>IFERROR(__xludf.DUMMYFUNCTION("""COMPUTED_VALUE""")," ")</f>
        <v> </v>
      </c>
      <c r="I530" s="66" t="str">
        <f>IFERROR(__xludf.DUMMYFUNCTION("""COMPUTED_VALUE""")," ")</f>
        <v> </v>
      </c>
      <c r="J530" s="62" t="str">
        <f>IFERROR(__xludf.DUMMYFUNCTION("""COMPUTED_VALUE""")," ")</f>
        <v> </v>
      </c>
      <c r="K530" s="59">
        <f>IFERROR(__xludf.DUMMYFUNCTION("""COMPUTED_VALUE"""),10.08)</f>
        <v>10.08</v>
      </c>
      <c r="L530" s="87" t="str">
        <f>IFERROR(__xludf.DUMMYFUNCTION("""COMPUTED_VALUE""")," ")</f>
        <v> </v>
      </c>
      <c r="M530" s="64" t="str">
        <f>IFERROR(__xludf.DUMMYFUNCTION("""COMPUTED_VALUE"""),"U: [1/6 W]; W: [1:1, $11.5]")</f>
        <v>U: [1/6 W]; W: [1:1, $11.5]</v>
      </c>
      <c r="N530" s="65">
        <f>IFERROR(__xludf.DUMMYFUNCTION("""COMPUTED_VALUE"""),44256.0)</f>
        <v>44256</v>
      </c>
      <c r="O530" s="66" t="str">
        <f>IFERROR(__xludf.DUMMYFUNCTION("""COMPUTED_VALUE"""),"")</f>
        <v/>
      </c>
      <c r="P530" s="67">
        <f>IFERROR(__xludf.DUMMYFUNCTION("""COMPUTED_VALUE"""),44256.0)</f>
        <v>44256</v>
      </c>
      <c r="Q530" s="68">
        <f>IFERROR(__xludf.DUMMYFUNCTION("""COMPUTED_VALUE"""),350.0)</f>
        <v>350</v>
      </c>
      <c r="R530" s="85" t="str">
        <f>IFERROR(__xludf.DUMMYFUNCTION("""COMPUTED_VALUE"""),"Citigroup")</f>
        <v>Citigroup</v>
      </c>
      <c r="S530" s="64">
        <f>IFERROR(__xludf.DUMMYFUNCTION("""COMPUTED_VALUE"""),44986.0)</f>
        <v>44986</v>
      </c>
      <c r="T530" s="70">
        <f>IFERROR(__xludf.DUMMYFUNCTION("""COMPUTED_VALUE"""),0.0547945205479452)</f>
        <v>0.05479452055</v>
      </c>
      <c r="U530" s="71" t="str">
        <f>IFERROR(__xludf.DUMMYFUNCTION("""COMPUTED_VALUE"""),"https://www.sec.gov/cgi-bin/browse-edgar?CIK=1835817")</f>
        <v>https://www.sec.gov/cgi-bin/browse-edgar?CIK=1835817</v>
      </c>
      <c r="V530" s="72" t="str">
        <f>IFERROR(__xludf.DUMMYFUNCTION("""COMPUTED_VALUE"""),"         Well-known Sponsor Serial Sponsor Top Tier UW ")</f>
        <v>         Well-known Sponsor Serial Sponsor Top Tier UW </v>
      </c>
      <c r="W530" s="73"/>
      <c r="X530" s="74"/>
      <c r="Y530" s="75"/>
      <c r="Z530" s="60"/>
      <c r="AA530" s="60"/>
      <c r="AB530" s="60"/>
      <c r="AC530" s="60"/>
      <c r="AD530" s="73"/>
      <c r="AE530" s="73"/>
      <c r="AF530" s="76"/>
      <c r="AG530" s="60" t="str">
        <f>IFERROR(__xludf.DUMMYFUNCTION("""COMPUTED_VALUE"""),"")</f>
        <v/>
      </c>
    </row>
    <row r="531">
      <c r="A531" s="54" t="str">
        <f>IFERROR(__xludf.DUMMYFUNCTION("""COMPUTED_VALUE"""),"NSTD")</f>
        <v>NSTD</v>
      </c>
      <c r="B531" s="55" t="str">
        <f>IFERROR(__xludf.DUMMYFUNCTION("""COMPUTED_VALUE"""),"Northern Star Investment Corp. IV")</f>
        <v>Northern Star Investment Corp. IV</v>
      </c>
      <c r="C531" s="56" t="str">
        <f>IFERROR(__xludf.DUMMYFUNCTION("""COMPUTED_VALUE"""),"Searching (Pre Unit Split)")</f>
        <v>Searching (Pre Unit Split)</v>
      </c>
      <c r="D531" s="77" t="str">
        <f>IFERROR(__xludf.DUMMYFUNCTION("""COMPUTED_VALUE"""),"Direct-to-Consumer, e-commerce")</f>
        <v>Direct-to-Consumer, e-commerce</v>
      </c>
      <c r="E531" s="58"/>
      <c r="F531" s="59" t="str">
        <f>IFERROR(__xludf.DUMMYFUNCTION("""COMPUTED_VALUE"""),"Jonathan Ledecky (Co-owner New York Islanders; CEO, PIC), Joanna Coles (Fmr Editor-in-Chief, Cosmopolitan; Director, Snapchat and Sonos), Emily White (Fmr  COO, Snapchat; Director, Lulu Lemon), Kirsten Green (Founder/MP, Forerunner Ventures; Director, Nor"&amp;"dstrom) ")</f>
        <v>Jonathan Ledecky (Co-owner New York Islanders; CEO, PIC), Joanna Coles (Fmr Editor-in-Chief, Cosmopolitan; Director, Snapchat and Sonos), Emily White (Fmr  COO, Snapchat; Director, Lulu Lemon), Kirsten Green (Founder/MP, Forerunner Ventures; Director, Nordstrom) </v>
      </c>
      <c r="G531" s="60">
        <f>IFERROR(__xludf.DUMMYFUNCTION("""COMPUTED_VALUE"""),3.5E8)</f>
        <v>350000000</v>
      </c>
      <c r="H531" s="60" t="str">
        <f>IFERROR(__xludf.DUMMYFUNCTION("""COMPUTED_VALUE""")," ")</f>
        <v> </v>
      </c>
      <c r="I531" s="66" t="str">
        <f>IFERROR(__xludf.DUMMYFUNCTION("""COMPUTED_VALUE""")," ")</f>
        <v> </v>
      </c>
      <c r="J531" s="62" t="str">
        <f>IFERROR(__xludf.DUMMYFUNCTION("""COMPUTED_VALUE""")," ")</f>
        <v> </v>
      </c>
      <c r="K531" s="59">
        <f>IFERROR(__xludf.DUMMYFUNCTION("""COMPUTED_VALUE"""),10.06)</f>
        <v>10.06</v>
      </c>
      <c r="L531" s="87" t="str">
        <f>IFERROR(__xludf.DUMMYFUNCTION("""COMPUTED_VALUE""")," ")</f>
        <v> </v>
      </c>
      <c r="M531" s="64" t="str">
        <f>IFERROR(__xludf.DUMMYFUNCTION("""COMPUTED_VALUE"""),"U: [1/6 W]; W: [1:1, $11.5]")</f>
        <v>U: [1/6 W]; W: [1:1, $11.5]</v>
      </c>
      <c r="N531" s="65">
        <f>IFERROR(__xludf.DUMMYFUNCTION("""COMPUTED_VALUE"""),44256.0)</f>
        <v>44256</v>
      </c>
      <c r="O531" s="66" t="str">
        <f>IFERROR(__xludf.DUMMYFUNCTION("""COMPUTED_VALUE"""),"")</f>
        <v/>
      </c>
      <c r="P531" s="67">
        <f>IFERROR(__xludf.DUMMYFUNCTION("""COMPUTED_VALUE"""),44256.0)</f>
        <v>44256</v>
      </c>
      <c r="Q531" s="68">
        <f>IFERROR(__xludf.DUMMYFUNCTION("""COMPUTED_VALUE"""),350.0)</f>
        <v>350</v>
      </c>
      <c r="R531" s="85" t="str">
        <f>IFERROR(__xludf.DUMMYFUNCTION("""COMPUTED_VALUE"""),"Citigroup")</f>
        <v>Citigroup</v>
      </c>
      <c r="S531" s="64">
        <f>IFERROR(__xludf.DUMMYFUNCTION("""COMPUTED_VALUE"""),44986.0)</f>
        <v>44986</v>
      </c>
      <c r="T531" s="70">
        <f>IFERROR(__xludf.DUMMYFUNCTION("""COMPUTED_VALUE"""),0.0547945205479452)</f>
        <v>0.05479452055</v>
      </c>
      <c r="U531" s="71" t="str">
        <f>IFERROR(__xludf.DUMMYFUNCTION("""COMPUTED_VALUE"""),"https://www.sec.gov/cgi-bin/browse-edgar?CIK=1835814")</f>
        <v>https://www.sec.gov/cgi-bin/browse-edgar?CIK=1835814</v>
      </c>
      <c r="V531" s="72" t="str">
        <f>IFERROR(__xludf.DUMMYFUNCTION("""COMPUTED_VALUE"""),"         Well-known Sponsor Serial Sponsor Top Tier UW ")</f>
        <v>         Well-known Sponsor Serial Sponsor Top Tier UW </v>
      </c>
      <c r="W531" s="73"/>
      <c r="X531" s="74"/>
      <c r="Y531" s="75"/>
      <c r="Z531" s="60"/>
      <c r="AA531" s="60"/>
      <c r="AB531" s="60"/>
      <c r="AC531" s="60"/>
      <c r="AD531" s="73"/>
      <c r="AE531" s="73"/>
      <c r="AF531" s="76"/>
      <c r="AG531" s="60" t="str">
        <f>IFERROR(__xludf.DUMMYFUNCTION("""COMPUTED_VALUE"""),"")</f>
        <v/>
      </c>
    </row>
    <row r="532">
      <c r="A532" s="88" t="str">
        <f>IFERROR(__xludf.DUMMYFUNCTION("""COMPUTED_VALUE"""),"NTWO")</f>
        <v>NTWO</v>
      </c>
      <c r="B532" s="55" t="str">
        <f>IFERROR(__xludf.DUMMYFUNCTION("""COMPUTED_VALUE"""),"N2 Acquisition Holdings Corp.")</f>
        <v>N2 Acquisition Holdings Corp.</v>
      </c>
      <c r="C532" s="56" t="str">
        <f>IFERROR(__xludf.DUMMYFUNCTION("""COMPUTED_VALUE"""),"Pre IPO")</f>
        <v>Pre IPO</v>
      </c>
      <c r="D532" s="57"/>
      <c r="E532" s="58"/>
      <c r="F532" s="59" t="str">
        <f>IFERROR(__xludf.DUMMYFUNCTION("""COMPUTED_VALUE"""),"Noam Gottesman (Co-founder &amp; Former CEO of GLG Partners and Founder &amp; Managing Director of Tom’s Capital), Sir Martin Franklin (Founder, Former Chairman &amp; CEO of Jarden, Former Director of Newell Brands, Burger King Worldwide, and Restaurant Brands Intern"&amp;"ational)")</f>
        <v>Noam Gottesman (Co-founder &amp; Former CEO of GLG Partners and Founder &amp; Managing Director of Tom’s Capital), Sir Martin Franklin (Founder, Former Chairman &amp; CEO of Jarden, Former Director of Newell Brands, Burger King Worldwide, and Restaurant Brands International)</v>
      </c>
      <c r="G532" s="60">
        <f>IFERROR(__xludf.DUMMYFUNCTION("""COMPUTED_VALUE"""),4.5E8)</f>
        <v>450000000</v>
      </c>
      <c r="H532" s="60" t="str">
        <f>IFERROR(__xludf.DUMMYFUNCTION("""COMPUTED_VALUE""")," ")</f>
        <v> </v>
      </c>
      <c r="I532" s="66" t="str">
        <f>IFERROR(__xludf.DUMMYFUNCTION("""COMPUTED_VALUE""")," ")</f>
        <v> </v>
      </c>
      <c r="J532" s="62" t="str">
        <f>IFERROR(__xludf.DUMMYFUNCTION("""COMPUTED_VALUE""")," ")</f>
        <v> </v>
      </c>
      <c r="K532" s="59" t="str">
        <f>IFERROR(__xludf.DUMMYFUNCTION("""COMPUTED_VALUE""")," ")</f>
        <v> </v>
      </c>
      <c r="L532" s="87" t="str">
        <f>IFERROR(__xludf.DUMMYFUNCTION("""COMPUTED_VALUE""")," ")</f>
        <v> </v>
      </c>
      <c r="M532" s="64" t="str">
        <f>IFERROR(__xludf.DUMMYFUNCTION("""COMPUTED_VALUE"""),"U: [1/4 W]; W: [1:1, $11.5]")</f>
        <v>U: [1/4 W]; W: [1:1, $11.5]</v>
      </c>
      <c r="N532" s="65" t="str">
        <f>IFERROR(__xludf.DUMMYFUNCTION("""COMPUTED_VALUE"""),"")</f>
        <v/>
      </c>
      <c r="O532" s="66">
        <f>IFERROR(__xludf.DUMMYFUNCTION("""COMPUTED_VALUE"""),0.0)</f>
        <v>0</v>
      </c>
      <c r="P532" s="67"/>
      <c r="Q532" s="68">
        <f>IFERROR(__xludf.DUMMYFUNCTION("""COMPUTED_VALUE"""),450.0)</f>
        <v>450</v>
      </c>
      <c r="R532" s="69" t="str">
        <f>IFERROR(__xludf.DUMMYFUNCTION("""COMPUTED_VALUE"""),"Credit Suisse, Citigroup, UBS Investment Bank")</f>
        <v>Credit Suisse, Citigroup, UBS Investment Bank</v>
      </c>
      <c r="S532" s="64">
        <f>IFERROR(__xludf.DUMMYFUNCTION("""COMPUTED_VALUE"""),45086.0)</f>
        <v>45086</v>
      </c>
      <c r="T532" s="70" t="str">
        <f>IFERROR(__xludf.DUMMYFUNCTION("""COMPUTED_VALUE"""),"")</f>
        <v/>
      </c>
      <c r="U532" s="71" t="str">
        <f>IFERROR(__xludf.DUMMYFUNCTION("""COMPUTED_VALUE"""),"https://www.sec.gov/cgi-bin/browse-edgar?CIK=1847521")</f>
        <v>https://www.sec.gov/cgi-bin/browse-edgar?CIK=1847521</v>
      </c>
      <c r="V532" s="72" t="str">
        <f>IFERROR(__xludf.DUMMYFUNCTION("""COMPUTED_VALUE"""),"         Well-known Sponsor Serial Sponsor Top Tier UW ")</f>
        <v>         Well-known Sponsor Serial Sponsor Top Tier UW </v>
      </c>
      <c r="W532" s="73"/>
      <c r="X532" s="74"/>
      <c r="Y532" s="75"/>
      <c r="Z532" s="60"/>
      <c r="AA532" s="60"/>
      <c r="AB532" s="60"/>
      <c r="AC532" s="60"/>
      <c r="AD532" s="73"/>
      <c r="AE532" s="73"/>
      <c r="AF532" s="76"/>
      <c r="AG532" s="60"/>
    </row>
    <row r="533">
      <c r="A533" s="54" t="str">
        <f>IFERROR(__xludf.DUMMYFUNCTION("""COMPUTED_VALUE"""),"NVSA")</f>
        <v>NVSA</v>
      </c>
      <c r="B533" s="55" t="str">
        <f>IFERROR(__xludf.DUMMYFUNCTION("""COMPUTED_VALUE"""),"New Vista Acquisition Corp")</f>
        <v>New Vista Acquisition Corp</v>
      </c>
      <c r="C533" s="56" t="str">
        <f>IFERROR(__xludf.DUMMYFUNCTION("""COMPUTED_VALUE"""),"Searching")</f>
        <v>Searching</v>
      </c>
      <c r="D533" s="77" t="str">
        <f>IFERROR(__xludf.DUMMYFUNCTION("""COMPUTED_VALUE"""),"Aviation, Aerospace, Defense")</f>
        <v>Aviation, Aerospace, Defense</v>
      </c>
      <c r="E533" s="58"/>
      <c r="F533" s="59" t="str">
        <f>IFERROR(__xludf.DUMMYFUNCTION("""COMPUTED_VALUE"""),"Dennis Muilenburg (Fmr CEO, Boeing), Marion Blakey (Fmr CEO, Rolls-Royce North America; Fmr Administrator, FAA), Lieut. Gen. Herbert Raymond McMaster (Retired US Army Lt General; Fmr US National Security Advisor to President Trump), Dr. John Tracy (Former"&amp;" CTO of Boeing), Paul Eremenko (CEO, Universal Hydrogen)")</f>
        <v>Dennis Muilenburg (Fmr CEO, Boeing), Marion Blakey (Fmr CEO, Rolls-Royce North America; Fmr Administrator, FAA), Lieut. Gen. Herbert Raymond McMaster (Retired US Army Lt General; Fmr US National Security Advisor to President Trump), Dr. John Tracy (Former CTO of Boeing), Paul Eremenko (CEO, Universal Hydrogen)</v>
      </c>
      <c r="G533" s="60">
        <f>IFERROR(__xludf.DUMMYFUNCTION("""COMPUTED_VALUE"""),2.76E8)</f>
        <v>276000000</v>
      </c>
      <c r="H533" s="60" t="str">
        <f>IFERROR(__xludf.DUMMYFUNCTION("""COMPUTED_VALUE""")," ")</f>
        <v> </v>
      </c>
      <c r="I533" s="66" t="str">
        <f>IFERROR(__xludf.DUMMYFUNCTION("""COMPUTED_VALUE""")," ")</f>
        <v> </v>
      </c>
      <c r="J533" s="62" t="str">
        <f>IFERROR(__xludf.DUMMYFUNCTION("""COMPUTED_VALUE""")," ")</f>
        <v> </v>
      </c>
      <c r="K533" s="59">
        <f>IFERROR(__xludf.DUMMYFUNCTION("""COMPUTED_VALUE"""),10.14)</f>
        <v>10.14</v>
      </c>
      <c r="L533" s="87" t="str">
        <f>IFERROR(__xludf.DUMMYFUNCTION("""COMPUTED_VALUE""")," ")</f>
        <v> </v>
      </c>
      <c r="M533" s="64" t="str">
        <f>IFERROR(__xludf.DUMMYFUNCTION("""COMPUTED_VALUE"""),"U: [1/3 W]; W: [1:1, $11.5]")</f>
        <v>U: [1/3 W]; W: [1:1, $11.5]</v>
      </c>
      <c r="N533" s="65">
        <f>IFERROR(__xludf.DUMMYFUNCTION("""COMPUTED_VALUE"""),44298.0)</f>
        <v>44298</v>
      </c>
      <c r="O533" s="66" t="str">
        <f>IFERROR(__xludf.DUMMYFUNCTION("""COMPUTED_VALUE"""),"")</f>
        <v/>
      </c>
      <c r="P533" s="67">
        <f>IFERROR(__xludf.DUMMYFUNCTION("""COMPUTED_VALUE"""),44243.0)</f>
        <v>44243</v>
      </c>
      <c r="Q533" s="68">
        <f>IFERROR(__xludf.DUMMYFUNCTION("""COMPUTED_VALUE"""),276.0)</f>
        <v>276</v>
      </c>
      <c r="R533" s="85" t="str">
        <f>IFERROR(__xludf.DUMMYFUNCTION("""COMPUTED_VALUE"""),"Citigroup, Jefferies")</f>
        <v>Citigroup, Jefferies</v>
      </c>
      <c r="S533" s="64">
        <f>IFERROR(__xludf.DUMMYFUNCTION("""COMPUTED_VALUE"""),44973.0)</f>
        <v>44973</v>
      </c>
      <c r="T533" s="70">
        <f>IFERROR(__xludf.DUMMYFUNCTION("""COMPUTED_VALUE"""),0.07260273972602739)</f>
        <v>0.07260273973</v>
      </c>
      <c r="U533" s="71" t="str">
        <f>IFERROR(__xludf.DUMMYFUNCTION("""COMPUTED_VALUE"""),"https://www.sec.gov/cgi-bin/browse-edgar?CIK=1838433")</f>
        <v>https://www.sec.gov/cgi-bin/browse-edgar?CIK=1838433</v>
      </c>
      <c r="V533" s="72" t="str">
        <f>IFERROR(__xludf.DUMMYFUNCTION("""COMPUTED_VALUE"""),"         Well-known Sponsor  Top Tier UW Recent Split")</f>
        <v>         Well-known Sponsor  Top Tier UW Recent Split</v>
      </c>
      <c r="W533" s="73"/>
      <c r="X533" s="74"/>
      <c r="Y533" s="75"/>
      <c r="Z533" s="60"/>
      <c r="AA533" s="60"/>
      <c r="AB533" s="60"/>
      <c r="AC533" s="60"/>
      <c r="AD533" s="73"/>
      <c r="AE533" s="73"/>
      <c r="AF533" s="76"/>
      <c r="AG533" s="60" t="str">
        <f>IFERROR(__xludf.DUMMYFUNCTION("""COMPUTED_VALUE"""),"")</f>
        <v/>
      </c>
    </row>
    <row r="534">
      <c r="A534" s="54" t="str">
        <f>IFERROR(__xludf.DUMMYFUNCTION("""COMPUTED_VALUE"""),"NXU")</f>
        <v>NXU</v>
      </c>
      <c r="B534" s="55" t="str">
        <f>IFERROR(__xludf.DUMMYFUNCTION("""COMPUTED_VALUE"""),"Novus Capital Corporation II")</f>
        <v>Novus Capital Corporation II</v>
      </c>
      <c r="C534" s="56" t="str">
        <f>IFERROR(__xludf.DUMMYFUNCTION("""COMPUTED_VALUE"""),"Searching")</f>
        <v>Searching</v>
      </c>
      <c r="D534" s="57" t="str">
        <f>IFERROR(__xludf.DUMMYFUNCTION("""COMPUTED_VALUE"""),"Smart Tech, 5G communication, VR, AI, Cloud, Machine Learning, Smart City, AgTech")</f>
        <v>Smart Tech, 5G communication, VR, AI, Cloud, Machine Learning, Smart City, AgTech</v>
      </c>
      <c r="E534" s="58"/>
      <c r="F534" s="59" t="str">
        <f>IFERROR(__xludf.DUMMYFUNCTION("""COMPUTED_VALUE"""),"Robert Laikin (Founder of L7 Investments and Chairman of Washington Prime Group), Larry Paulson (Former VP of Product Mgmt of Qualcomm)")</f>
        <v>Robert Laikin (Founder of L7 Investments and Chairman of Washington Prime Group), Larry Paulson (Former VP of Product Mgmt of Qualcomm)</v>
      </c>
      <c r="G534" s="60">
        <f>IFERROR(__xludf.DUMMYFUNCTION("""COMPUTED_VALUE"""),2.875E8)</f>
        <v>287500000</v>
      </c>
      <c r="H534" s="60"/>
      <c r="I534" s="66">
        <f>IFERROR(__xludf.DUMMYFUNCTION("""COMPUTED_VALUE"""),9.99)</f>
        <v>9.99</v>
      </c>
      <c r="J534" s="62">
        <f>IFERROR(__xludf.DUMMYFUNCTION("""COMPUTED_VALUE"""),0.01939)</f>
        <v>0.01939</v>
      </c>
      <c r="K534" s="59">
        <f>IFERROR(__xludf.DUMMYFUNCTION("""COMPUTED_VALUE"""),10.305)</f>
        <v>10.305</v>
      </c>
      <c r="L534" s="87">
        <f>IFERROR(__xludf.DUMMYFUNCTION("""COMPUTED_VALUE"""),1.249)</f>
        <v>1.249</v>
      </c>
      <c r="M534" s="64" t="str">
        <f>IFERROR(__xludf.DUMMYFUNCTION("""COMPUTED_VALUE"""),"U: [1/3 W]; W: [1:1, $11.5]")</f>
        <v>U: [1/3 W]; W: [1:1, $11.5]</v>
      </c>
      <c r="N534" s="65" t="str">
        <f>IFERROR(__xludf.DUMMYFUNCTION("""COMPUTED_VALUE"""),"")</f>
        <v/>
      </c>
      <c r="O534" s="66">
        <f>IFERROR(__xludf.DUMMYFUNCTION("""COMPUTED_VALUE"""),0.0)</f>
        <v>0</v>
      </c>
      <c r="P534" s="67">
        <f>IFERROR(__xludf.DUMMYFUNCTION("""COMPUTED_VALUE"""),44230.0)</f>
        <v>44230</v>
      </c>
      <c r="Q534" s="68">
        <f>IFERROR(__xludf.DUMMYFUNCTION("""COMPUTED_VALUE"""),287.5)</f>
        <v>287.5</v>
      </c>
      <c r="R534" s="85" t="str">
        <f>IFERROR(__xludf.DUMMYFUNCTION("""COMPUTED_VALUE"""),"Cowen")</f>
        <v>Cowen</v>
      </c>
      <c r="S534" s="64">
        <f>IFERROR(__xludf.DUMMYFUNCTION("""COMPUTED_VALUE"""),44960.0)</f>
        <v>44960</v>
      </c>
      <c r="T534" s="70">
        <f>IFERROR(__xludf.DUMMYFUNCTION("""COMPUTED_VALUE"""),0.09041095890410959)</f>
        <v>0.0904109589</v>
      </c>
      <c r="U534" s="71" t="str">
        <f>IFERROR(__xludf.DUMMYFUNCTION("""COMPUTED_VALUE"""),"https://www.sec.gov/cgi-bin/browse-edgar?CIK=1828536")</f>
        <v>https://www.sec.gov/cgi-bin/browse-edgar?CIK=1828536</v>
      </c>
      <c r="V534" s="72" t="str">
        <f>IFERROR(__xludf.DUMMYFUNCTION("""COMPUTED_VALUE""")," Trading Below $10 (Common)           ")</f>
        <v> Trading Below $10 (Common)           </v>
      </c>
      <c r="W534" s="73"/>
      <c r="X534" s="74"/>
      <c r="Y534" s="75"/>
      <c r="Z534" s="60"/>
      <c r="AA534" s="60"/>
      <c r="AB534" s="60"/>
      <c r="AC534" s="60"/>
      <c r="AD534" s="73"/>
      <c r="AE534" s="73"/>
      <c r="AF534" s="76"/>
      <c r="AG534" s="60" t="str">
        <f>IFERROR(__xludf.DUMMYFUNCTION("""COMPUTED_VALUE"""),"")</f>
        <v/>
      </c>
    </row>
    <row r="535">
      <c r="A535" s="88" t="str">
        <f>IFERROR(__xludf.DUMMYFUNCTION("""COMPUTED_VALUE"""),"OACA")</f>
        <v>OACA</v>
      </c>
      <c r="B535" s="55" t="str">
        <f>IFERROR(__xludf.DUMMYFUNCTION("""COMPUTED_VALUE"""),"Ocelot Acquisition Corp I")</f>
        <v>Ocelot Acquisition Corp I</v>
      </c>
      <c r="C535" s="56" t="str">
        <f>IFERROR(__xludf.DUMMYFUNCTION("""COMPUTED_VALUE"""),"Pre IPO")</f>
        <v>Pre IPO</v>
      </c>
      <c r="D535" s="77" t="str">
        <f>IFERROR(__xludf.DUMMYFUNCTION("""COMPUTED_VALUE"""),"E-commerce, Transportation, Logistics, LogTech")</f>
        <v>E-commerce, Transportation, Logistics, LogTech</v>
      </c>
      <c r="E535" s="58"/>
      <c r="F535" s="59" t="str">
        <f>IFERROR(__xludf.DUMMYFUNCTION("""COMPUTED_VALUE"""),"Dick Metzler (Fmr CMO, uShip)")</f>
        <v>Dick Metzler (Fmr CMO, uShip)</v>
      </c>
      <c r="G535" s="60">
        <f>IFERROR(__xludf.DUMMYFUNCTION("""COMPUTED_VALUE"""),2.0E8)</f>
        <v>200000000</v>
      </c>
      <c r="H535" s="60" t="str">
        <f>IFERROR(__xludf.DUMMYFUNCTION("""COMPUTED_VALUE""")," ")</f>
        <v> </v>
      </c>
      <c r="I535" s="66" t="str">
        <f>IFERROR(__xludf.DUMMYFUNCTION("""COMPUTED_VALUE""")," ")</f>
        <v> </v>
      </c>
      <c r="J535" s="62" t="str">
        <f>IFERROR(__xludf.DUMMYFUNCTION("""COMPUTED_VALUE""")," ")</f>
        <v> </v>
      </c>
      <c r="K535" s="59" t="str">
        <f>IFERROR(__xludf.DUMMYFUNCTION("""COMPUTED_VALUE""")," ")</f>
        <v> </v>
      </c>
      <c r="L535" s="87" t="str">
        <f>IFERROR(__xludf.DUMMYFUNCTION("""COMPUTED_VALUE""")," ")</f>
        <v> </v>
      </c>
      <c r="M535" s="64" t="str">
        <f>IFERROR(__xludf.DUMMYFUNCTION("""COMPUTED_VALUE"""),"U: [1/2 W]; W: [1:1, $11.5]")</f>
        <v>U: [1/2 W]; W: [1:1, $11.5]</v>
      </c>
      <c r="N535" s="65" t="str">
        <f>IFERROR(__xludf.DUMMYFUNCTION("""COMPUTED_VALUE"""),"")</f>
        <v/>
      </c>
      <c r="O535" s="66" t="str">
        <f>IFERROR(__xludf.DUMMYFUNCTION("""COMPUTED_VALUE"""),"")</f>
        <v/>
      </c>
      <c r="P535" s="67"/>
      <c r="Q535" s="68">
        <f>IFERROR(__xludf.DUMMYFUNCTION("""COMPUTED_VALUE"""),200.0)</f>
        <v>200</v>
      </c>
      <c r="R535" s="69" t="str">
        <f>IFERROR(__xludf.DUMMYFUNCTION("""COMPUTED_VALUE"""),"BMO Capital Markets, Stifel")</f>
        <v>BMO Capital Markets, Stifel</v>
      </c>
      <c r="S535" s="64">
        <f>IFERROR(__xludf.DUMMYFUNCTION("""COMPUTED_VALUE"""),45086.0)</f>
        <v>45086</v>
      </c>
      <c r="T535" s="70" t="str">
        <f>IFERROR(__xludf.DUMMYFUNCTION("""COMPUTED_VALUE"""),"")</f>
        <v/>
      </c>
      <c r="U535" s="71" t="str">
        <f>IFERROR(__xludf.DUMMYFUNCTION("""COMPUTED_VALUE"""),"https://www.sec.gov/cgi-bin/browse-edgar?CIK=1837226")</f>
        <v>https://www.sec.gov/cgi-bin/browse-edgar?CIK=1837226</v>
      </c>
      <c r="V535" s="72" t="str">
        <f>IFERROR(__xludf.DUMMYFUNCTION("""COMPUTED_VALUE"""),"            ")</f>
        <v>            </v>
      </c>
      <c r="W535" s="73"/>
      <c r="X535" s="74"/>
      <c r="Y535" s="75"/>
      <c r="Z535" s="60"/>
      <c r="AA535" s="60"/>
      <c r="AB535" s="60"/>
      <c r="AC535" s="60"/>
      <c r="AD535" s="73"/>
      <c r="AE535" s="73"/>
      <c r="AF535" s="76"/>
      <c r="AG535" s="60"/>
    </row>
    <row r="536">
      <c r="A536" s="54" t="str">
        <f>IFERROR(__xludf.DUMMYFUNCTION("""COMPUTED_VALUE"""),"OACB")</f>
        <v>OACB</v>
      </c>
      <c r="B536" s="55" t="str">
        <f>IFERROR(__xludf.DUMMYFUNCTION("""COMPUTED_VALUE"""),"Oaktree Acquisition Corp. II")</f>
        <v>Oaktree Acquisition Corp. II</v>
      </c>
      <c r="C536" s="56" t="str">
        <f>IFERROR(__xludf.DUMMYFUNCTION("""COMPUTED_VALUE"""),"Searching")</f>
        <v>Searching</v>
      </c>
      <c r="D536" s="57" t="str">
        <f>IFERROR(__xludf.DUMMYFUNCTION("""COMPUTED_VALUE"""),"Industrial, Consumer")</f>
        <v>Industrial, Consumer</v>
      </c>
      <c r="E536" s="58"/>
      <c r="F536" s="59" t="str">
        <f>IFERROR(__xludf.DUMMYFUNCTION("""COMPUTED_VALUE"""),"Paul Meister (Former Exec Vice Chairman, Revlon; Chairman Thermo Fisher)")</f>
        <v>Paul Meister (Former Exec Vice Chairman, Revlon; Chairman Thermo Fisher)</v>
      </c>
      <c r="G536" s="60">
        <f>IFERROR(__xludf.DUMMYFUNCTION("""COMPUTED_VALUE"""),2.50006919E8)</f>
        <v>250006919</v>
      </c>
      <c r="H536" s="60">
        <f>IFERROR(__xludf.DUMMYFUNCTION("""COMPUTED_VALUE"""),2.51E8)</f>
        <v>251000000</v>
      </c>
      <c r="I536" s="66">
        <f>IFERROR(__xludf.DUMMYFUNCTION("""COMPUTED_VALUE"""),10.04)</f>
        <v>10.04</v>
      </c>
      <c r="J536" s="62">
        <f>IFERROR(__xludf.DUMMYFUNCTION("""COMPUTED_VALUE"""),0.001)</f>
        <v>0.001</v>
      </c>
      <c r="K536" s="59">
        <f>IFERROR(__xludf.DUMMYFUNCTION("""COMPUTED_VALUE"""),10.35)</f>
        <v>10.35</v>
      </c>
      <c r="L536" s="87">
        <f>IFERROR(__xludf.DUMMYFUNCTION("""COMPUTED_VALUE"""),1.26)</f>
        <v>1.26</v>
      </c>
      <c r="M536" s="64" t="str">
        <f>IFERROR(__xludf.DUMMYFUNCTION("""COMPUTED_VALUE"""),"U: [1/4 W]; W: [1:1, $11.5]")</f>
        <v>U: [1/4 W]; W: [1:1, $11.5]</v>
      </c>
      <c r="N536" s="65" t="str">
        <f>IFERROR(__xludf.DUMMYFUNCTION("""COMPUTED_VALUE"""),"")</f>
        <v/>
      </c>
      <c r="O536" s="66">
        <f>IFERROR(__xludf.DUMMYFUNCTION("""COMPUTED_VALUE"""),0.0)</f>
        <v>0</v>
      </c>
      <c r="P536" s="67">
        <f>IFERROR(__xludf.DUMMYFUNCTION("""COMPUTED_VALUE"""),44090.0)</f>
        <v>44090</v>
      </c>
      <c r="Q536" s="68">
        <f>IFERROR(__xludf.DUMMYFUNCTION("""COMPUTED_VALUE"""),250.0)</f>
        <v>250</v>
      </c>
      <c r="R536" s="85" t="str">
        <f>IFERROR(__xludf.DUMMYFUNCTION("""COMPUTED_VALUE"""),"Deutsche Bank, Citigroup")</f>
        <v>Deutsche Bank, Citigroup</v>
      </c>
      <c r="S536" s="64">
        <f>IFERROR(__xludf.DUMMYFUNCTION("""COMPUTED_VALUE"""),44820.0)</f>
        <v>44820</v>
      </c>
      <c r="T536" s="70">
        <f>IFERROR(__xludf.DUMMYFUNCTION("""COMPUTED_VALUE"""),0.2821917808219178)</f>
        <v>0.2821917808</v>
      </c>
      <c r="U536" s="71" t="str">
        <f>IFERROR(__xludf.DUMMYFUNCTION("""COMPUTED_VALUE"""),"https://www.sec.gov/cgi-bin/browse-edgar?CIK=1820931")</f>
        <v>https://www.sec.gov/cgi-bin/browse-edgar?CIK=1820931</v>
      </c>
      <c r="V536" s="72" t="str">
        <f>IFERROR(__xludf.DUMMYFUNCTION("""COMPUTED_VALUE"""),"         Well-known Sponsor Serial Sponsor Top Tier UW ")</f>
        <v>         Well-known Sponsor Serial Sponsor Top Tier UW </v>
      </c>
      <c r="W536" s="73"/>
      <c r="X536" s="74"/>
      <c r="Y536" s="75"/>
      <c r="Z536" s="60"/>
      <c r="AA536" s="60"/>
      <c r="AB536" s="60"/>
      <c r="AC536" s="60"/>
      <c r="AD536" s="73"/>
      <c r="AE536" s="73"/>
      <c r="AF536" s="76"/>
      <c r="AG536" s="60" t="str">
        <f>IFERROR(__xludf.DUMMYFUNCTION("""COMPUTED_VALUE"""),"")</f>
        <v/>
      </c>
    </row>
    <row r="537">
      <c r="A537" s="88" t="str">
        <f>IFERROR(__xludf.DUMMYFUNCTION("""COMPUTED_VALUE"""),"OACC")</f>
        <v>OACC</v>
      </c>
      <c r="B537" s="55" t="str">
        <f>IFERROR(__xludf.DUMMYFUNCTION("""COMPUTED_VALUE"""),"Oaktree Acquisition Corp. III")</f>
        <v>Oaktree Acquisition Corp. III</v>
      </c>
      <c r="C537" s="56" t="str">
        <f>IFERROR(__xludf.DUMMYFUNCTION("""COMPUTED_VALUE"""),"Pre IPO")</f>
        <v>Pre IPO</v>
      </c>
      <c r="D537" s="57" t="str">
        <f>IFERROR(__xludf.DUMMYFUNCTION("""COMPUTED_VALUE"""),"Industrial, Consumer")</f>
        <v>Industrial, Consumer</v>
      </c>
      <c r="E537" s="58"/>
      <c r="F537" s="59"/>
      <c r="G537" s="60">
        <f>IFERROR(__xludf.DUMMYFUNCTION("""COMPUTED_VALUE"""),3.25E8)</f>
        <v>325000000</v>
      </c>
      <c r="H537" s="60" t="str">
        <f>IFERROR(__xludf.DUMMYFUNCTION("""COMPUTED_VALUE""")," ")</f>
        <v> </v>
      </c>
      <c r="I537" s="66" t="str">
        <f>IFERROR(__xludf.DUMMYFUNCTION("""COMPUTED_VALUE""")," ")</f>
        <v> </v>
      </c>
      <c r="J537" s="62" t="str">
        <f>IFERROR(__xludf.DUMMYFUNCTION("""COMPUTED_VALUE""")," ")</f>
        <v> </v>
      </c>
      <c r="K537" s="59" t="str">
        <f>IFERROR(__xludf.DUMMYFUNCTION("""COMPUTED_VALUE""")," ")</f>
        <v> </v>
      </c>
      <c r="L537" s="87" t="str">
        <f>IFERROR(__xludf.DUMMYFUNCTION("""COMPUTED_VALUE""")," ")</f>
        <v> </v>
      </c>
      <c r="M537" s="64" t="str">
        <f>IFERROR(__xludf.DUMMYFUNCTION("""COMPUTED_VALUE"""),"U: [1/5 W]; W: [1:1, $11.5]")</f>
        <v>U: [1/5 W]; W: [1:1, $11.5]</v>
      </c>
      <c r="N537" s="65" t="str">
        <f>IFERROR(__xludf.DUMMYFUNCTION("""COMPUTED_VALUE"""),"")</f>
        <v/>
      </c>
      <c r="O537" s="66" t="str">
        <f>IFERROR(__xludf.DUMMYFUNCTION("""COMPUTED_VALUE"""),"")</f>
        <v/>
      </c>
      <c r="P537" s="67"/>
      <c r="Q537" s="68">
        <f>IFERROR(__xludf.DUMMYFUNCTION("""COMPUTED_VALUE"""),325.0)</f>
        <v>325</v>
      </c>
      <c r="R537" s="69" t="str">
        <f>IFERROR(__xludf.DUMMYFUNCTION("""COMPUTED_VALUE"""),"Deutsche Bank Securities, Credit Suisse, Morgan Stanley")</f>
        <v>Deutsche Bank Securities, Credit Suisse, Morgan Stanley</v>
      </c>
      <c r="S537" s="64">
        <f>IFERROR(__xludf.DUMMYFUNCTION("""COMPUTED_VALUE"""),45086.0)</f>
        <v>45086</v>
      </c>
      <c r="T537" s="70" t="str">
        <f>IFERROR(__xludf.DUMMYFUNCTION("""COMPUTED_VALUE"""),"")</f>
        <v/>
      </c>
      <c r="U537" s="71" t="str">
        <f>IFERROR(__xludf.DUMMYFUNCTION("""COMPUTED_VALUE"""),"https://www.sec.gov/cgi-bin/browse-edgar?CIK=1845036")</f>
        <v>https://www.sec.gov/cgi-bin/browse-edgar?CIK=1845036</v>
      </c>
      <c r="V537" s="72" t="str">
        <f>IFERROR(__xludf.DUMMYFUNCTION("""COMPUTED_VALUE"""),"         Well-known Sponsor Serial Sponsor Top Tier UW ")</f>
        <v>         Well-known Sponsor Serial Sponsor Top Tier UW </v>
      </c>
      <c r="W537" s="73"/>
      <c r="X537" s="74"/>
      <c r="Y537" s="75"/>
      <c r="Z537" s="60"/>
      <c r="AA537" s="60"/>
      <c r="AB537" s="60"/>
      <c r="AC537" s="60"/>
      <c r="AD537" s="73"/>
      <c r="AE537" s="73"/>
      <c r="AF537" s="76"/>
      <c r="AG537" s="60"/>
    </row>
    <row r="538">
      <c r="A538" s="54" t="str">
        <f>IFERROR(__xludf.DUMMYFUNCTION("""COMPUTED_VALUE"""),"OCA")</f>
        <v>OCA</v>
      </c>
      <c r="B538" s="55" t="str">
        <f>IFERROR(__xludf.DUMMYFUNCTION("""COMPUTED_VALUE"""),"Omnichannel Acquisition Corp.")</f>
        <v>Omnichannel Acquisition Corp.</v>
      </c>
      <c r="C538" s="56" t="str">
        <f>IFERROR(__xludf.DUMMYFUNCTION("""COMPUTED_VALUE"""),"Searching")</f>
        <v>Searching</v>
      </c>
      <c r="D538" s="57" t="str">
        <f>IFERROR(__xludf.DUMMYFUNCTION("""COMPUTED_VALUE"""),"“Omnichannel” - technology-enabled cross-channel retail and consumer services")</f>
        <v>“Omnichannel” - technology-enabled cross-channel retail and consumer services</v>
      </c>
      <c r="E538" s="58"/>
      <c r="F538" s="59" t="str">
        <f>IFERROR(__xludf.DUMMYFUNCTION("""COMPUTED_VALUE"""),"Matt Higgins (Co-Founder, RSE Ventures; Director, Momofuku, VaynerMedia), Bobbi Brown (Founder, Bobbi Brown Cosmetics), Albert Carey (Fmr CEO, PepsiCo orth America; Director, The Home Depot), Mark Gerson (Co-founder, GLG)")</f>
        <v>Matt Higgins (Co-Founder, RSE Ventures; Director, Momofuku, VaynerMedia), Bobbi Brown (Founder, Bobbi Brown Cosmetics), Albert Carey (Fmr CEO, PepsiCo orth America; Director, The Home Depot), Mark Gerson (Co-founder, GLG)</v>
      </c>
      <c r="G538" s="60">
        <f>IFERROR(__xludf.DUMMYFUNCTION("""COMPUTED_VALUE"""),2.06498802E8)</f>
        <v>206498802</v>
      </c>
      <c r="H538" s="60">
        <f>IFERROR(__xludf.DUMMYFUNCTION("""COMPUTED_VALUE"""),2.065E8)</f>
        <v>206500000</v>
      </c>
      <c r="I538" s="66">
        <f>IFERROR(__xludf.DUMMYFUNCTION("""COMPUTED_VALUE"""),10.0)</f>
        <v>10</v>
      </c>
      <c r="J538" s="62">
        <f>IFERROR(__xludf.DUMMYFUNCTION("""COMPUTED_VALUE"""),0.00604)</f>
        <v>0.00604</v>
      </c>
      <c r="K538" s="59">
        <f>IFERROR(__xludf.DUMMYFUNCTION("""COMPUTED_VALUE"""),10.53)</f>
        <v>10.53</v>
      </c>
      <c r="L538" s="87">
        <f>IFERROR(__xludf.DUMMYFUNCTION("""COMPUTED_VALUE"""),1.13)</f>
        <v>1.13</v>
      </c>
      <c r="M538" s="64" t="str">
        <f>IFERROR(__xludf.DUMMYFUNCTION("""COMPUTED_VALUE"""),"U: [1/2 W]; W: [1:1, $11.5]")</f>
        <v>U: [1/2 W]; W: [1:1, $11.5]</v>
      </c>
      <c r="N538" s="65" t="str">
        <f>IFERROR(__xludf.DUMMYFUNCTION("""COMPUTED_VALUE"""),"")</f>
        <v/>
      </c>
      <c r="O538" s="66">
        <f>IFERROR(__xludf.DUMMYFUNCTION("""COMPUTED_VALUE"""),0.0)</f>
        <v>0</v>
      </c>
      <c r="P538" s="67">
        <f>IFERROR(__xludf.DUMMYFUNCTION("""COMPUTED_VALUE"""),44155.0)</f>
        <v>44155</v>
      </c>
      <c r="Q538" s="68">
        <f>IFERROR(__xludf.DUMMYFUNCTION("""COMPUTED_VALUE"""),206.5)</f>
        <v>206.5</v>
      </c>
      <c r="R538" s="85" t="str">
        <f>IFERROR(__xludf.DUMMYFUNCTION("""COMPUTED_VALUE"""),"Citigroup, Odeon Capital Group")</f>
        <v>Citigroup, Odeon Capital Group</v>
      </c>
      <c r="S538" s="64">
        <f>IFERROR(__xludf.DUMMYFUNCTION("""COMPUTED_VALUE"""),44885.0)</f>
        <v>44885</v>
      </c>
      <c r="T538" s="70">
        <f>IFERROR(__xludf.DUMMYFUNCTION("""COMPUTED_VALUE"""),0.19315068493150686)</f>
        <v>0.1931506849</v>
      </c>
      <c r="U538" s="71" t="str">
        <f>IFERROR(__xludf.DUMMYFUNCTION("""COMPUTED_VALUE"""),"https://www.sec.gov/cgi-bin/browse-edgar?CIK=1827669")</f>
        <v>https://www.sec.gov/cgi-bin/browse-edgar?CIK=1827669</v>
      </c>
      <c r="V538" s="72" t="str">
        <f>IFERROR(__xludf.DUMMYFUNCTION("""COMPUTED_VALUE""")," Trading Below $10 (Common)        Well-known Sponsor  Top Tier UW ")</f>
        <v> Trading Below $10 (Common)        Well-known Sponsor  Top Tier UW </v>
      </c>
      <c r="W538" s="73"/>
      <c r="X538" s="74"/>
      <c r="Y538" s="75"/>
      <c r="Z538" s="60"/>
      <c r="AA538" s="60"/>
      <c r="AB538" s="60"/>
      <c r="AC538" s="60"/>
      <c r="AD538" s="73"/>
      <c r="AE538" s="73"/>
      <c r="AF538" s="76"/>
      <c r="AG538" s="60" t="str">
        <f>IFERROR(__xludf.DUMMYFUNCTION("""COMPUTED_VALUE"""),"")</f>
        <v/>
      </c>
    </row>
    <row r="539">
      <c r="A539" s="54" t="str">
        <f>IFERROR(__xludf.DUMMYFUNCTION("""COMPUTED_VALUE"""),"OCAX")</f>
        <v>OCAX</v>
      </c>
      <c r="B539" s="55" t="str">
        <f>IFERROR(__xludf.DUMMYFUNCTION("""COMPUTED_VALUE"""),"OCA Acquisition Corp.")</f>
        <v>OCA Acquisition Corp.</v>
      </c>
      <c r="C539" s="56" t="str">
        <f>IFERROR(__xludf.DUMMYFUNCTION("""COMPUTED_VALUE"""),"Searching")</f>
        <v>Searching</v>
      </c>
      <c r="D539" s="57" t="str">
        <f>IFERROR(__xludf.DUMMYFUNCTION("""COMPUTED_VALUE"""),"Tech-enabled (healthcare &amp; education), Financial services")</f>
        <v>Tech-enabled (healthcare &amp; education), Financial services</v>
      </c>
      <c r="E539" s="58"/>
      <c r="F539" s="59"/>
      <c r="G539" s="60">
        <f>IFERROR(__xludf.DUMMYFUNCTION("""COMPUTED_VALUE"""),1.517425E8)</f>
        <v>151742500</v>
      </c>
      <c r="H539" s="60">
        <f>IFERROR(__xludf.DUMMYFUNCTION("""COMPUTED_VALUE"""),1.472575E8)</f>
        <v>147257500</v>
      </c>
      <c r="I539" s="66">
        <f>IFERROR(__xludf.DUMMYFUNCTION("""COMPUTED_VALUE"""),9.85)</f>
        <v>9.85</v>
      </c>
      <c r="J539" s="62">
        <f>IFERROR(__xludf.DUMMYFUNCTION("""COMPUTED_VALUE"""),-0.00101)</f>
        <v>-0.00101</v>
      </c>
      <c r="K539" s="59">
        <f>IFERROR(__xludf.DUMMYFUNCTION("""COMPUTED_VALUE"""),10.14)</f>
        <v>10.14</v>
      </c>
      <c r="L539" s="87">
        <f>IFERROR(__xludf.DUMMYFUNCTION("""COMPUTED_VALUE"""),0.64)</f>
        <v>0.64</v>
      </c>
      <c r="M539" s="64" t="str">
        <f>IFERROR(__xludf.DUMMYFUNCTION("""COMPUTED_VALUE"""),"U: [1/2 W]; W: [1:1, $11.5]")</f>
        <v>U: [1/2 W]; W: [1:1, $11.5]</v>
      </c>
      <c r="N539" s="65">
        <f>IFERROR(__xludf.DUMMYFUNCTION("""COMPUTED_VALUE"""),44263.0)</f>
        <v>44263</v>
      </c>
      <c r="O539" s="66">
        <f>IFERROR(__xludf.DUMMYFUNCTION("""COMPUTED_VALUE"""),0.0)</f>
        <v>0</v>
      </c>
      <c r="P539" s="67">
        <f>IFERROR(__xludf.DUMMYFUNCTION("""COMPUTED_VALUE"""),44210.0)</f>
        <v>44210</v>
      </c>
      <c r="Q539" s="68">
        <f>IFERROR(__xludf.DUMMYFUNCTION("""COMPUTED_VALUE"""),151.7425)</f>
        <v>151.7425</v>
      </c>
      <c r="R539" s="85" t="str">
        <f>IFERROR(__xludf.DUMMYFUNCTION("""COMPUTED_VALUE"""),"Stifel, Nomura")</f>
        <v>Stifel, Nomura</v>
      </c>
      <c r="S539" s="64">
        <f>IFERROR(__xludf.DUMMYFUNCTION("""COMPUTED_VALUE"""),44757.5)</f>
        <v>44757.5</v>
      </c>
      <c r="T539" s="70">
        <f>IFERROR(__xludf.DUMMYFUNCTION("""COMPUTED_VALUE"""),0.15707762557077626)</f>
        <v>0.1570776256</v>
      </c>
      <c r="U539" s="71" t="str">
        <f>IFERROR(__xludf.DUMMYFUNCTION("""COMPUTED_VALUE"""),"https://www.sec.gov/cgi-bin/browse-edgar?CIK=1820175")</f>
        <v>https://www.sec.gov/cgi-bin/browse-edgar?CIK=1820175</v>
      </c>
      <c r="V539" s="72" t="str">
        <f>IFERROR(__xludf.DUMMYFUNCTION("""COMPUTED_VALUE""")," Trading Below $10 (Common)           ")</f>
        <v> Trading Below $10 (Common)           </v>
      </c>
      <c r="W539" s="73"/>
      <c r="X539" s="74"/>
      <c r="Y539" s="75"/>
      <c r="Z539" s="60"/>
      <c r="AA539" s="60"/>
      <c r="AB539" s="60"/>
      <c r="AC539" s="60"/>
      <c r="AD539" s="73"/>
      <c r="AE539" s="73"/>
      <c r="AF539" s="76"/>
      <c r="AG539" s="60" t="str">
        <f>IFERROR(__xludf.DUMMYFUNCTION("""COMPUTED_VALUE"""),"")</f>
        <v/>
      </c>
    </row>
    <row r="540">
      <c r="A540" s="88" t="str">
        <f>IFERROR(__xludf.DUMMYFUNCTION("""COMPUTED_VALUE"""),"ODAC")</f>
        <v>ODAC</v>
      </c>
      <c r="B540" s="55" t="str">
        <f>IFERROR(__xludf.DUMMYFUNCTION("""COMPUTED_VALUE"""),"Ocean Drive Acquisition Corp.")</f>
        <v>Ocean Drive Acquisition Corp.</v>
      </c>
      <c r="C540" s="56" t="str">
        <f>IFERROR(__xludf.DUMMYFUNCTION("""COMPUTED_VALUE"""),"Pre IPO")</f>
        <v>Pre IPO</v>
      </c>
      <c r="D540" s="77" t="str">
        <f>IFERROR(__xludf.DUMMYFUNCTION("""COMPUTED_VALUE"""),"Real estate including gaming and lodging, PropTech")</f>
        <v>Real estate including gaming and lodging, PropTech</v>
      </c>
      <c r="E540" s="58"/>
      <c r="F540" s="59" t="str">
        <f>IFERROR(__xludf.DUMMYFUNCTION("""COMPUTED_VALUE"""),"Howard Lorber (CEO of Vector Group; Exec Chairman, Nathan's Famous), Mark Lawrence (Co-founder/CEO, SpotHero)")</f>
        <v>Howard Lorber (CEO of Vector Group; Exec Chairman, Nathan's Famous), Mark Lawrence (Co-founder/CEO, SpotHero)</v>
      </c>
      <c r="G540" s="60">
        <f>IFERROR(__xludf.DUMMYFUNCTION("""COMPUTED_VALUE"""),2.5E8)</f>
        <v>250000000</v>
      </c>
      <c r="H540" s="60" t="str">
        <f>IFERROR(__xludf.DUMMYFUNCTION("""COMPUTED_VALUE""")," ")</f>
        <v> </v>
      </c>
      <c r="I540" s="66" t="str">
        <f>IFERROR(__xludf.DUMMYFUNCTION("""COMPUTED_VALUE""")," ")</f>
        <v> </v>
      </c>
      <c r="J540" s="62" t="str">
        <f>IFERROR(__xludf.DUMMYFUNCTION("""COMPUTED_VALUE""")," ")</f>
        <v> </v>
      </c>
      <c r="K540" s="59" t="str">
        <f>IFERROR(__xludf.DUMMYFUNCTION("""COMPUTED_VALUE""")," ")</f>
        <v> </v>
      </c>
      <c r="L540" s="87" t="str">
        <f>IFERROR(__xludf.DUMMYFUNCTION("""COMPUTED_VALUE""")," ")</f>
        <v> </v>
      </c>
      <c r="M540" s="64" t="str">
        <f>IFERROR(__xludf.DUMMYFUNCTION("""COMPUTED_VALUE"""),"U: [1/3 W]; W: [1:1, $11.5]")</f>
        <v>U: [1/3 W]; W: [1:1, $11.5]</v>
      </c>
      <c r="N540" s="65" t="str">
        <f>IFERROR(__xludf.DUMMYFUNCTION("""COMPUTED_VALUE"""),"")</f>
        <v/>
      </c>
      <c r="O540" s="66">
        <f>IFERROR(__xludf.DUMMYFUNCTION("""COMPUTED_VALUE"""),0.0)</f>
        <v>0</v>
      </c>
      <c r="P540" s="67"/>
      <c r="Q540" s="68">
        <f>IFERROR(__xludf.DUMMYFUNCTION("""COMPUTED_VALUE"""),250.0)</f>
        <v>250</v>
      </c>
      <c r="R540" s="69" t="str">
        <f>IFERROR(__xludf.DUMMYFUNCTION("""COMPUTED_VALUE"""),"Jefferies")</f>
        <v>Jefferies</v>
      </c>
      <c r="S540" s="64">
        <f>IFERROR(__xludf.DUMMYFUNCTION("""COMPUTED_VALUE"""),45086.0)</f>
        <v>45086</v>
      </c>
      <c r="T540" s="70" t="str">
        <f>IFERROR(__xludf.DUMMYFUNCTION("""COMPUTED_VALUE"""),"")</f>
        <v/>
      </c>
      <c r="U540" s="71" t="str">
        <f>IFERROR(__xludf.DUMMYFUNCTION("""COMPUTED_VALUE"""),"https://www.sec.gov/cgi-bin/browse-edgar?CIK=1849074")</f>
        <v>https://www.sec.gov/cgi-bin/browse-edgar?CIK=1849074</v>
      </c>
      <c r="V540" s="72" t="str">
        <f>IFERROR(__xludf.DUMMYFUNCTION("""COMPUTED_VALUE"""),"         Well-known Sponsor   ")</f>
        <v>         Well-known Sponsor   </v>
      </c>
      <c r="W540" s="73"/>
      <c r="X540" s="74"/>
      <c r="Y540" s="75"/>
      <c r="Z540" s="60"/>
      <c r="AA540" s="60"/>
      <c r="AB540" s="60"/>
      <c r="AC540" s="60"/>
      <c r="AD540" s="73"/>
      <c r="AE540" s="73"/>
      <c r="AF540" s="76"/>
      <c r="AG540" s="60"/>
    </row>
    <row r="541">
      <c r="A541" s="54" t="str">
        <f>IFERROR(__xludf.DUMMYFUNCTION("""COMPUTED_VALUE"""),"OEPW")</f>
        <v>OEPW</v>
      </c>
      <c r="B541" s="55" t="str">
        <f>IFERROR(__xludf.DUMMYFUNCTION("""COMPUTED_VALUE"""),"One Equity Partners Open Water I Corp.")</f>
        <v>One Equity Partners Open Water I Corp.</v>
      </c>
      <c r="C541" s="56" t="str">
        <f>IFERROR(__xludf.DUMMYFUNCTION("""COMPUTED_VALUE"""),"Searching")</f>
        <v>Searching</v>
      </c>
      <c r="D541" s="57" t="str">
        <f>IFERROR(__xludf.DUMMYFUNCTION("""COMPUTED_VALUE"""),"Tech, Healthcare, and Specialty Industrials")</f>
        <v>Tech, Healthcare, and Specialty Industrials</v>
      </c>
      <c r="E541" s="58"/>
      <c r="F541" s="59" t="str">
        <f>IFERROR(__xludf.DUMMYFUNCTION("""COMPUTED_VALUE"""),"Todd Bradley (Operating Partner, OEP Capital Advisors; Fmr President, TIBCO Software; Director, Mattel, Kodak)")</f>
        <v>Todd Bradley (Operating Partner, OEP Capital Advisors; Fmr President, TIBCO Software; Director, Mattel, Kodak)</v>
      </c>
      <c r="G541" s="60">
        <f>IFERROR(__xludf.DUMMYFUNCTION("""COMPUTED_VALUE"""),3.45E8)</f>
        <v>345000000</v>
      </c>
      <c r="H541" s="60">
        <f>IFERROR(__xludf.DUMMYFUNCTION("""COMPUTED_VALUE"""),3.3672E8)</f>
        <v>336720000</v>
      </c>
      <c r="I541" s="66">
        <f>IFERROR(__xludf.DUMMYFUNCTION("""COMPUTED_VALUE"""),9.76)</f>
        <v>9.76</v>
      </c>
      <c r="J541" s="62">
        <f>IFERROR(__xludf.DUMMYFUNCTION("""COMPUTED_VALUE"""),-0.0051)</f>
        <v>-0.0051</v>
      </c>
      <c r="K541" s="59">
        <f>IFERROR(__xludf.DUMMYFUNCTION("""COMPUTED_VALUE"""),10.05)</f>
        <v>10.05</v>
      </c>
      <c r="L541" s="87">
        <f>IFERROR(__xludf.DUMMYFUNCTION("""COMPUTED_VALUE"""),0.69)</f>
        <v>0.69</v>
      </c>
      <c r="M541" s="64" t="str">
        <f>IFERROR(__xludf.DUMMYFUNCTION("""COMPUTED_VALUE"""),"U: [1/3 W]; W: [1:1, $11.5]")</f>
        <v>U: [1/3 W]; W: [1:1, $11.5]</v>
      </c>
      <c r="N541" s="65">
        <f>IFERROR(__xludf.DUMMYFUNCTION("""COMPUTED_VALUE"""),44270.0)</f>
        <v>44270</v>
      </c>
      <c r="O541" s="66">
        <f>IFERROR(__xludf.DUMMYFUNCTION("""COMPUTED_VALUE"""),0.0)</f>
        <v>0</v>
      </c>
      <c r="P541" s="67">
        <f>IFERROR(__xludf.DUMMYFUNCTION("""COMPUTED_VALUE"""),44217.0)</f>
        <v>44217</v>
      </c>
      <c r="Q541" s="68">
        <f>IFERROR(__xludf.DUMMYFUNCTION("""COMPUTED_VALUE"""),345.0)</f>
        <v>345</v>
      </c>
      <c r="R541" s="85" t="str">
        <f>IFERROR(__xludf.DUMMYFUNCTION("""COMPUTED_VALUE"""),"Drexel Hamilton, Credit Suisse, RBC Capital Markets")</f>
        <v>Drexel Hamilton, Credit Suisse, RBC Capital Markets</v>
      </c>
      <c r="S541" s="64">
        <f>IFERROR(__xludf.DUMMYFUNCTION("""COMPUTED_VALUE"""),44947.0)</f>
        <v>44947</v>
      </c>
      <c r="T541" s="70">
        <f>IFERROR(__xludf.DUMMYFUNCTION("""COMPUTED_VALUE"""),0.10821917808219178)</f>
        <v>0.1082191781</v>
      </c>
      <c r="U541" s="71" t="str">
        <f>IFERROR(__xludf.DUMMYFUNCTION("""COMPUTED_VALUE"""),"https://www.sec.gov/cgi-bin/browse-edgar?CIK=1824677")</f>
        <v>https://www.sec.gov/cgi-bin/browse-edgar?CIK=1824677</v>
      </c>
      <c r="V541" s="72" t="str">
        <f>IFERROR(__xludf.DUMMYFUNCTION("""COMPUTED_VALUE""")," Trading Below $10 (Common)           ")</f>
        <v> Trading Below $10 (Common)           </v>
      </c>
      <c r="W541" s="73"/>
      <c r="X541" s="74"/>
      <c r="Y541" s="75"/>
      <c r="Z541" s="60"/>
      <c r="AA541" s="60"/>
      <c r="AB541" s="60"/>
      <c r="AC541" s="60"/>
      <c r="AD541" s="73"/>
      <c r="AE541" s="73"/>
      <c r="AF541" s="76"/>
      <c r="AG541" s="60" t="str">
        <f>IFERROR(__xludf.DUMMYFUNCTION("""COMPUTED_VALUE"""),"")</f>
        <v/>
      </c>
    </row>
    <row r="542">
      <c r="A542" s="88" t="str">
        <f>IFERROR(__xludf.DUMMYFUNCTION("""COMPUTED_VALUE"""),"OHPA")</f>
        <v>OHPA</v>
      </c>
      <c r="B542" s="55" t="str">
        <f>IFERROR(__xludf.DUMMYFUNCTION("""COMPUTED_VALUE"""),"Orion Acquisition Corp.")</f>
        <v>Orion Acquisition Corp.</v>
      </c>
      <c r="C542" s="56" t="str">
        <f>IFERROR(__xludf.DUMMYFUNCTION("""COMPUTED_VALUE"""),"Searching (Pre Unit Split)")</f>
        <v>Searching (Pre Unit Split)</v>
      </c>
      <c r="D542" s="77" t="str">
        <f>IFERROR(__xludf.DUMMYFUNCTION("""COMPUTED_VALUE"""),"Healthcare")</f>
        <v>Healthcare</v>
      </c>
      <c r="E542" s="58"/>
      <c r="F542" s="59"/>
      <c r="G542" s="60">
        <f>IFERROR(__xludf.DUMMYFUNCTION("""COMPUTED_VALUE"""),4.14E8)</f>
        <v>414000000</v>
      </c>
      <c r="H542" s="60" t="str">
        <f>IFERROR(__xludf.DUMMYFUNCTION("""COMPUTED_VALUE""")," ")</f>
        <v> </v>
      </c>
      <c r="I542" s="66" t="str">
        <f>IFERROR(__xludf.DUMMYFUNCTION("""COMPUTED_VALUE""")," ")</f>
        <v> </v>
      </c>
      <c r="J542" s="62" t="str">
        <f>IFERROR(__xludf.DUMMYFUNCTION("""COMPUTED_VALUE""")," ")</f>
        <v> </v>
      </c>
      <c r="K542" s="59">
        <f>IFERROR(__xludf.DUMMYFUNCTION("""COMPUTED_VALUE"""),9.96)</f>
        <v>9.96</v>
      </c>
      <c r="L542" s="87" t="str">
        <f>IFERROR(__xludf.DUMMYFUNCTION("""COMPUTED_VALUE""")," ")</f>
        <v> </v>
      </c>
      <c r="M542" s="64" t="str">
        <f>IFERROR(__xludf.DUMMYFUNCTION("""COMPUTED_VALUE"""),"U: [1/4 W]; W: [1:1, $11.5]")</f>
        <v>U: [1/4 W]; W: [1:1, $11.5]</v>
      </c>
      <c r="N542" s="65">
        <f>IFERROR(__xludf.DUMMYFUNCTION("""COMPUTED_VALUE"""),44308.0)</f>
        <v>44308</v>
      </c>
      <c r="O542" s="66" t="str">
        <f>IFERROR(__xludf.DUMMYFUNCTION("""COMPUTED_VALUE"""),"")</f>
        <v/>
      </c>
      <c r="P542" s="67">
        <f>IFERROR(__xludf.DUMMYFUNCTION("""COMPUTED_VALUE"""),44256.0)</f>
        <v>44256</v>
      </c>
      <c r="Q542" s="68">
        <f>IFERROR(__xludf.DUMMYFUNCTION("""COMPUTED_VALUE"""),414.0)</f>
        <v>414</v>
      </c>
      <c r="R542" s="69" t="str">
        <f>IFERROR(__xludf.DUMMYFUNCTION("""COMPUTED_VALUE"""),"Credit Suisse")</f>
        <v>Credit Suisse</v>
      </c>
      <c r="S542" s="64">
        <f>IFERROR(__xludf.DUMMYFUNCTION("""COMPUTED_VALUE"""),44986.0)</f>
        <v>44986</v>
      </c>
      <c r="T542" s="70">
        <f>IFERROR(__xludf.DUMMYFUNCTION("""COMPUTED_VALUE"""),0.0547945205479452)</f>
        <v>0.05479452055</v>
      </c>
      <c r="U542" s="71" t="str">
        <f>IFERROR(__xludf.DUMMYFUNCTION("""COMPUTED_VALUE"""),"https://www.sec.gov/cgi-bin/browse-edgar?CIK=1836129")</f>
        <v>https://www.sec.gov/cgi-bin/browse-edgar?CIK=1836129</v>
      </c>
      <c r="V542" s="72" t="str">
        <f>IFERROR(__xludf.DUMMYFUNCTION("""COMPUTED_VALUE"""),"            ")</f>
        <v>            </v>
      </c>
      <c r="W542" s="73"/>
      <c r="X542" s="74"/>
      <c r="Y542" s="75"/>
      <c r="Z542" s="60"/>
      <c r="AA542" s="60"/>
      <c r="AB542" s="60"/>
      <c r="AC542" s="60"/>
      <c r="AD542" s="73"/>
      <c r="AE542" s="73"/>
      <c r="AF542" s="76"/>
      <c r="AG542" s="60"/>
    </row>
    <row r="543">
      <c r="A543" s="54" t="str">
        <f>IFERROR(__xludf.DUMMYFUNCTION("""COMPUTED_VALUE"""),"OMEG")</f>
        <v>OMEG</v>
      </c>
      <c r="B543" s="55" t="str">
        <f>IFERROR(__xludf.DUMMYFUNCTION("""COMPUTED_VALUE"""),"Omega Alpha SPAC")</f>
        <v>Omega Alpha SPAC</v>
      </c>
      <c r="C543" s="56" t="str">
        <f>IFERROR(__xludf.DUMMYFUNCTION("""COMPUTED_VALUE"""),"Searching")</f>
        <v>Searching</v>
      </c>
      <c r="D543" s="57" t="str">
        <f>IFERROR(__xludf.DUMMYFUNCTION("""COMPUTED_VALUE"""),"Healthcare")</f>
        <v>Healthcare</v>
      </c>
      <c r="E543" s="58"/>
      <c r="F543" s="59"/>
      <c r="G543" s="60">
        <f>IFERROR(__xludf.DUMMYFUNCTION("""COMPUTED_VALUE"""),1.38E8)</f>
        <v>138000000</v>
      </c>
      <c r="H543" s="60">
        <f>IFERROR(__xludf.DUMMYFUNCTION("""COMPUTED_VALUE"""),1.42795485E8)</f>
        <v>142795485</v>
      </c>
      <c r="I543" s="66">
        <f>IFERROR(__xludf.DUMMYFUNCTION("""COMPUTED_VALUE"""),9.985)</f>
        <v>9.985</v>
      </c>
      <c r="J543" s="62">
        <f>IFERROR(__xludf.DUMMYFUNCTION("""COMPUTED_VALUE"""),-0.0015)</f>
        <v>-0.0015</v>
      </c>
      <c r="K543" s="59" t="str">
        <f>IFERROR(__xludf.DUMMYFUNCTION("""COMPUTED_VALUE""")," ")</f>
        <v> </v>
      </c>
      <c r="L543" s="87" t="str">
        <f>IFERROR(__xludf.DUMMYFUNCTION("""COMPUTED_VALUE""")," ")</f>
        <v> </v>
      </c>
      <c r="M543" s="64" t="str">
        <f>IFERROR(__xludf.DUMMYFUNCTION("""COMPUTED_VALUE"""),"U: [No units]; W: [No warrants]")</f>
        <v>U: [No units]; W: [No warrants]</v>
      </c>
      <c r="N543" s="65" t="str">
        <f>IFERROR(__xludf.DUMMYFUNCTION("""COMPUTED_VALUE"""),"")</f>
        <v/>
      </c>
      <c r="O543" s="66">
        <f>IFERROR(__xludf.DUMMYFUNCTION("""COMPUTED_VALUE"""),0.0)</f>
        <v>0</v>
      </c>
      <c r="P543" s="67">
        <f>IFERROR(__xludf.DUMMYFUNCTION("""COMPUTED_VALUE"""),44202.0)</f>
        <v>44202</v>
      </c>
      <c r="Q543" s="68">
        <f>IFERROR(__xludf.DUMMYFUNCTION("""COMPUTED_VALUE"""),138.0)</f>
        <v>138</v>
      </c>
      <c r="R543" s="85" t="str">
        <f>IFERROR(__xludf.DUMMYFUNCTION("""COMPUTED_VALUE"""),"Jefferies, Morgan Stanley")</f>
        <v>Jefferies, Morgan Stanley</v>
      </c>
      <c r="S543" s="64">
        <f>IFERROR(__xludf.DUMMYFUNCTION("""COMPUTED_VALUE"""),44932.0)</f>
        <v>44932</v>
      </c>
      <c r="T543" s="70">
        <f>IFERROR(__xludf.DUMMYFUNCTION("""COMPUTED_VALUE"""),0.12876712328767123)</f>
        <v>0.1287671233</v>
      </c>
      <c r="U543" s="71" t="str">
        <f>IFERROR(__xludf.DUMMYFUNCTION("""COMPUTED_VALUE"""),"https://www.sec.gov/cgi-bin/browse-edgar?CIK=1832010")</f>
        <v>https://www.sec.gov/cgi-bin/browse-edgar?CIK=1832010</v>
      </c>
      <c r="V543" s="72" t="str">
        <f>IFERROR(__xludf.DUMMYFUNCTION("""COMPUTED_VALUE""")," Trading Below $10 (Common)          Top Tier UW ")</f>
        <v> Trading Below $10 (Common)          Top Tier UW </v>
      </c>
      <c r="W543" s="73"/>
      <c r="X543" s="74"/>
      <c r="Y543" s="75"/>
      <c r="Z543" s="60"/>
      <c r="AA543" s="60"/>
      <c r="AB543" s="60"/>
      <c r="AC543" s="60"/>
      <c r="AD543" s="73"/>
      <c r="AE543" s="73"/>
      <c r="AF543" s="76"/>
      <c r="AG543" s="60" t="str">
        <f>IFERROR(__xludf.DUMMYFUNCTION("""COMPUTED_VALUE"""),"")</f>
        <v/>
      </c>
    </row>
    <row r="544">
      <c r="A544" s="88" t="str">
        <f>IFERROR(__xludf.DUMMYFUNCTION("""COMPUTED_VALUE"""),"ONS")</f>
        <v>ONS</v>
      </c>
      <c r="B544" s="55" t="str">
        <f>IFERROR(__xludf.DUMMYFUNCTION("""COMPUTED_VALUE"""),"ONS Acquisition Corp.")</f>
        <v>ONS Acquisition Corp.</v>
      </c>
      <c r="C544" s="56" t="str">
        <f>IFERROR(__xludf.DUMMYFUNCTION("""COMPUTED_VALUE"""),"Pre IPO")</f>
        <v>Pre IPO</v>
      </c>
      <c r="D544" s="57"/>
      <c r="E544" s="58"/>
      <c r="F544" s="59"/>
      <c r="G544" s="60">
        <f>IFERROR(__xludf.DUMMYFUNCTION("""COMPUTED_VALUE"""),2.0E8)</f>
        <v>200000000</v>
      </c>
      <c r="H544" s="60" t="str">
        <f>IFERROR(__xludf.DUMMYFUNCTION("""COMPUTED_VALUE""")," ")</f>
        <v> </v>
      </c>
      <c r="I544" s="66" t="str">
        <f>IFERROR(__xludf.DUMMYFUNCTION("""COMPUTED_VALUE""")," ")</f>
        <v> </v>
      </c>
      <c r="J544" s="62" t="str">
        <f>IFERROR(__xludf.DUMMYFUNCTION("""COMPUTED_VALUE""")," ")</f>
        <v> </v>
      </c>
      <c r="K544" s="59" t="str">
        <f>IFERROR(__xludf.DUMMYFUNCTION("""COMPUTED_VALUE""")," ")</f>
        <v> </v>
      </c>
      <c r="L544" s="87" t="str">
        <f>IFERROR(__xludf.DUMMYFUNCTION("""COMPUTED_VALUE""")," ")</f>
        <v> </v>
      </c>
      <c r="M544" s="64" t="str">
        <f>IFERROR(__xludf.DUMMYFUNCTION("""COMPUTED_VALUE"""),"U: [1/2 W]; W: [1:1, $11.5]")</f>
        <v>U: [1/2 W]; W: [1:1, $11.5]</v>
      </c>
      <c r="N544" s="65" t="str">
        <f>IFERROR(__xludf.DUMMYFUNCTION("""COMPUTED_VALUE"""),"")</f>
        <v/>
      </c>
      <c r="O544" s="66">
        <f>IFERROR(__xludf.DUMMYFUNCTION("""COMPUTED_VALUE"""),0.0)</f>
        <v>0</v>
      </c>
      <c r="P544" s="67"/>
      <c r="Q544" s="68">
        <f>IFERROR(__xludf.DUMMYFUNCTION("""COMPUTED_VALUE"""),200.0)</f>
        <v>200</v>
      </c>
      <c r="R544" s="69" t="str">
        <f>IFERROR(__xludf.DUMMYFUNCTION("""COMPUTED_VALUE"""),"Ladenburg Thalmann")</f>
        <v>Ladenburg Thalmann</v>
      </c>
      <c r="S544" s="64">
        <f>IFERROR(__xludf.DUMMYFUNCTION("""COMPUTED_VALUE"""),45086.0)</f>
        <v>45086</v>
      </c>
      <c r="T544" s="70" t="str">
        <f>IFERROR(__xludf.DUMMYFUNCTION("""COMPUTED_VALUE"""),"")</f>
        <v/>
      </c>
      <c r="U544" s="71" t="str">
        <f>IFERROR(__xludf.DUMMYFUNCTION("""COMPUTED_VALUE"""),"https://www.sec.gov/cgi-bin/browse-edgar?CIK=1810200")</f>
        <v>https://www.sec.gov/cgi-bin/browse-edgar?CIK=1810200</v>
      </c>
      <c r="V544" s="72" t="str">
        <f>IFERROR(__xludf.DUMMYFUNCTION("""COMPUTED_VALUE"""),"            ")</f>
        <v>            </v>
      </c>
      <c r="W544" s="73"/>
      <c r="X544" s="74"/>
      <c r="Y544" s="75"/>
      <c r="Z544" s="60"/>
      <c r="AA544" s="60"/>
      <c r="AB544" s="60"/>
      <c r="AC544" s="60"/>
      <c r="AD544" s="73"/>
      <c r="AE544" s="73"/>
      <c r="AF544" s="76"/>
      <c r="AG544" s="60"/>
    </row>
    <row r="545">
      <c r="A545" s="88" t="str">
        <f>IFERROR(__xludf.DUMMYFUNCTION("""COMPUTED_VALUE"""),"OPA")</f>
        <v>OPA</v>
      </c>
      <c r="B545" s="55" t="str">
        <f>IFERROR(__xludf.DUMMYFUNCTION("""COMPUTED_VALUE"""),"Magnum Opus Acquisition Ltd")</f>
        <v>Magnum Opus Acquisition Ltd</v>
      </c>
      <c r="C545" s="56" t="str">
        <f>IFERROR(__xludf.DUMMYFUNCTION("""COMPUTED_VALUE"""),"Searching (Pre Unit Split)")</f>
        <v>Searching (Pre Unit Split)</v>
      </c>
      <c r="D545" s="57" t="str">
        <f>IFERROR(__xludf.DUMMYFUNCTION("""COMPUTED_VALUE"""),"Consumer, Tech, Media, can benefit from ops in Asia")</f>
        <v>Consumer, Tech, Media, can benefit from ops in Asia</v>
      </c>
      <c r="E545" s="58"/>
      <c r="F545" s="59"/>
      <c r="G545" s="60">
        <f>IFERROR(__xludf.DUMMYFUNCTION("""COMPUTED_VALUE"""),2.0E8)</f>
        <v>200000000</v>
      </c>
      <c r="H545" s="60" t="str">
        <f>IFERROR(__xludf.DUMMYFUNCTION("""COMPUTED_VALUE""")," ")</f>
        <v> </v>
      </c>
      <c r="I545" s="66" t="str">
        <f>IFERROR(__xludf.DUMMYFUNCTION("""COMPUTED_VALUE""")," ")</f>
        <v> </v>
      </c>
      <c r="J545" s="62" t="str">
        <f>IFERROR(__xludf.DUMMYFUNCTION("""COMPUTED_VALUE""")," ")</f>
        <v> </v>
      </c>
      <c r="K545" s="59">
        <f>IFERROR(__xludf.DUMMYFUNCTION("""COMPUTED_VALUE"""),10.01)</f>
        <v>10.01</v>
      </c>
      <c r="L545" s="87" t="str">
        <f>IFERROR(__xludf.DUMMYFUNCTION("""COMPUTED_VALUE""")," ")</f>
        <v> </v>
      </c>
      <c r="M545" s="64" t="str">
        <f>IFERROR(__xludf.DUMMYFUNCTION("""COMPUTED_VALUE"""),"U: [1/2 W]; W: [1:1, $11.5]")</f>
        <v>U: [1/2 W]; W: [1:1, $11.5]</v>
      </c>
      <c r="N545" s="65">
        <f>IFERROR(__xludf.DUMMYFUNCTION("""COMPUTED_VALUE"""),44330.0)</f>
        <v>44330</v>
      </c>
      <c r="O545" s="66">
        <f>IFERROR(__xludf.DUMMYFUNCTION("""COMPUTED_VALUE"""),0.0)</f>
        <v>0</v>
      </c>
      <c r="P545" s="67">
        <f>IFERROR(__xludf.DUMMYFUNCTION("""COMPUTED_VALUE"""),44278.0)</f>
        <v>44278</v>
      </c>
      <c r="Q545" s="68">
        <f>IFERROR(__xludf.DUMMYFUNCTION("""COMPUTED_VALUE"""),200.0)</f>
        <v>200</v>
      </c>
      <c r="R545" s="69" t="str">
        <f>IFERROR(__xludf.DUMMYFUNCTION("""COMPUTED_VALUE"""),"Credit Suisse")</f>
        <v>Credit Suisse</v>
      </c>
      <c r="S545" s="64">
        <f>IFERROR(__xludf.DUMMYFUNCTION("""COMPUTED_VALUE"""),45008.0)</f>
        <v>45008</v>
      </c>
      <c r="T545" s="70">
        <f>IFERROR(__xludf.DUMMYFUNCTION("""COMPUTED_VALUE"""),0.024657534246575342)</f>
        <v>0.02465753425</v>
      </c>
      <c r="U545" s="71" t="str">
        <f>IFERROR(__xludf.DUMMYFUNCTION("""COMPUTED_VALUE"""),"https://www.sec.gov/cgi-bin/browse-edgar?CIK=1843121")</f>
        <v>https://www.sec.gov/cgi-bin/browse-edgar?CIK=1843121</v>
      </c>
      <c r="V545" s="72" t="str">
        <f>IFERROR(__xludf.DUMMYFUNCTION("""COMPUTED_VALUE"""),"            ")</f>
        <v>            </v>
      </c>
      <c r="W545" s="73"/>
      <c r="X545" s="74"/>
      <c r="Y545" s="75"/>
      <c r="Z545" s="60"/>
      <c r="AA545" s="60"/>
      <c r="AB545" s="60"/>
      <c r="AC545" s="60"/>
      <c r="AD545" s="73"/>
      <c r="AE545" s="73"/>
      <c r="AF545" s="76"/>
      <c r="AG545" s="60"/>
    </row>
    <row r="546">
      <c r="A546" s="88" t="str">
        <f>IFERROR(__xludf.DUMMYFUNCTION("""COMPUTED_VALUE"""),"OPOT")</f>
        <v>OPOT</v>
      </c>
      <c r="B546" s="55" t="str">
        <f>IFERROR(__xludf.DUMMYFUNCTION("""COMPUTED_VALUE"""),"1.12 Acquisition Corp")</f>
        <v>1.12 Acquisition Corp</v>
      </c>
      <c r="C546" s="56" t="str">
        <f>IFERROR(__xludf.DUMMYFUNCTION("""COMPUTED_VALUE"""),"Pre IPO")</f>
        <v>Pre IPO</v>
      </c>
      <c r="D546" s="57" t="str">
        <f>IFERROR(__xludf.DUMMYFUNCTION("""COMPUTED_VALUE"""),"Financial services, technology, software, data, analytics, asset management, internet related services")</f>
        <v>Financial services, technology, software, data, analytics, asset management, internet related services</v>
      </c>
      <c r="E546" s="58"/>
      <c r="F546" s="59" t="str">
        <f>IFERROR(__xludf.DUMMYFUNCTION("""COMPUTED_VALUE"""),"Frank Martire, Jr. (Executive Chairman of NCR, Director of Cannae Holdings, and Former Chairman &amp; CEO of FIS Global)")</f>
        <v>Frank Martire, Jr. (Executive Chairman of NCR, Director of Cannae Holdings, and Former Chairman &amp; CEO of FIS Global)</v>
      </c>
      <c r="G546" s="60">
        <f>IFERROR(__xludf.DUMMYFUNCTION("""COMPUTED_VALUE"""),3.5E8)</f>
        <v>350000000</v>
      </c>
      <c r="H546" s="60" t="str">
        <f>IFERROR(__xludf.DUMMYFUNCTION("""COMPUTED_VALUE""")," ")</f>
        <v> </v>
      </c>
      <c r="I546" s="66" t="str">
        <f>IFERROR(__xludf.DUMMYFUNCTION("""COMPUTED_VALUE""")," ")</f>
        <v> </v>
      </c>
      <c r="J546" s="62" t="str">
        <f>IFERROR(__xludf.DUMMYFUNCTION("""COMPUTED_VALUE""")," ")</f>
        <v> </v>
      </c>
      <c r="K546" s="59" t="str">
        <f>IFERROR(__xludf.DUMMYFUNCTION("""COMPUTED_VALUE""")," ")</f>
        <v> </v>
      </c>
      <c r="L546" s="87" t="str">
        <f>IFERROR(__xludf.DUMMYFUNCTION("""COMPUTED_VALUE""")," ")</f>
        <v> </v>
      </c>
      <c r="M546" s="64" t="str">
        <f>IFERROR(__xludf.DUMMYFUNCTION("""COMPUTED_VALUE"""),"U: [1/4 W]; W: [1:1, $11.5]")</f>
        <v>U: [1/4 W]; W: [1:1, $11.5]</v>
      </c>
      <c r="N546" s="65" t="str">
        <f>IFERROR(__xludf.DUMMYFUNCTION("""COMPUTED_VALUE"""),"")</f>
        <v/>
      </c>
      <c r="O546" s="66">
        <f>IFERROR(__xludf.DUMMYFUNCTION("""COMPUTED_VALUE"""),0.0)</f>
        <v>0</v>
      </c>
      <c r="P546" s="67"/>
      <c r="Q546" s="68">
        <f>IFERROR(__xludf.DUMMYFUNCTION("""COMPUTED_VALUE"""),350.0)</f>
        <v>350</v>
      </c>
      <c r="R546" s="69" t="str">
        <f>IFERROR(__xludf.DUMMYFUNCTION("""COMPUTED_VALUE"""),"Credit Suisse, BofA Securities, Moelis &amp; Company")</f>
        <v>Credit Suisse, BofA Securities, Moelis &amp; Company</v>
      </c>
      <c r="S546" s="64">
        <f>IFERROR(__xludf.DUMMYFUNCTION("""COMPUTED_VALUE"""),45086.0)</f>
        <v>45086</v>
      </c>
      <c r="T546" s="70" t="str">
        <f>IFERROR(__xludf.DUMMYFUNCTION("""COMPUTED_VALUE"""),"")</f>
        <v/>
      </c>
      <c r="U546" s="71" t="str">
        <f>IFERROR(__xludf.DUMMYFUNCTION("""COMPUTED_VALUE"""),"https://www.sec.gov/cgi-bin/browse-edgar?CIK=1848507")</f>
        <v>https://www.sec.gov/cgi-bin/browse-edgar?CIK=1848507</v>
      </c>
      <c r="V546" s="72" t="str">
        <f>IFERROR(__xludf.DUMMYFUNCTION("""COMPUTED_VALUE"""),"           Top Tier UW ")</f>
        <v>           Top Tier UW </v>
      </c>
      <c r="W546" s="73"/>
      <c r="X546" s="74"/>
      <c r="Y546" s="75"/>
      <c r="Z546" s="60"/>
      <c r="AA546" s="60"/>
      <c r="AB546" s="60"/>
      <c r="AC546" s="60"/>
      <c r="AD546" s="73"/>
      <c r="AE546" s="73"/>
      <c r="AF546" s="76"/>
      <c r="AG546" s="60"/>
    </row>
    <row r="547">
      <c r="A547" s="88" t="str">
        <f>IFERROR(__xludf.DUMMYFUNCTION("""COMPUTED_VALUE"""),"ORIA")</f>
        <v>ORIA</v>
      </c>
      <c r="B547" s="55" t="str">
        <f>IFERROR(__xludf.DUMMYFUNCTION("""COMPUTED_VALUE"""),"Orion Biotech Opportunities Corp.")</f>
        <v>Orion Biotech Opportunities Corp.</v>
      </c>
      <c r="C547" s="56" t="str">
        <f>IFERROR(__xludf.DUMMYFUNCTION("""COMPUTED_VALUE"""),"Pre IPO")</f>
        <v>Pre IPO</v>
      </c>
      <c r="D547" s="77" t="str">
        <f>IFERROR(__xludf.DUMMYFUNCTION("""COMPUTED_VALUE"""),"Biotech, Life Sciences")</f>
        <v>Biotech, Life Sciences</v>
      </c>
      <c r="E547" s="58"/>
      <c r="F547" s="59" t="str">
        <f>IFERROR(__xludf.DUMMYFUNCTION("""COMPUTED_VALUE"""),"James Huang (Founding Managing Partner of Panacea), MSD Capital (Michael Dell’s family office) and Panacea")</f>
        <v>James Huang (Founding Managing Partner of Panacea), MSD Capital (Michael Dell’s family office) and Panacea</v>
      </c>
      <c r="G547" s="60">
        <f>IFERROR(__xludf.DUMMYFUNCTION("""COMPUTED_VALUE"""),2.0E8)</f>
        <v>200000000</v>
      </c>
      <c r="H547" s="60" t="str">
        <f>IFERROR(__xludf.DUMMYFUNCTION("""COMPUTED_VALUE""")," ")</f>
        <v> </v>
      </c>
      <c r="I547" s="66" t="str">
        <f>IFERROR(__xludf.DUMMYFUNCTION("""COMPUTED_VALUE""")," ")</f>
        <v> </v>
      </c>
      <c r="J547" s="62" t="str">
        <f>IFERROR(__xludf.DUMMYFUNCTION("""COMPUTED_VALUE""")," ")</f>
        <v> </v>
      </c>
      <c r="K547" s="59" t="str">
        <f>IFERROR(__xludf.DUMMYFUNCTION("""COMPUTED_VALUE""")," ")</f>
        <v> </v>
      </c>
      <c r="L547" s="87" t="str">
        <f>IFERROR(__xludf.DUMMYFUNCTION("""COMPUTED_VALUE""")," ")</f>
        <v> </v>
      </c>
      <c r="M547" s="64" t="str">
        <f>IFERROR(__xludf.DUMMYFUNCTION("""COMPUTED_VALUE"""),"U: [1/5 W]; W: [1:1, $11.5]")</f>
        <v>U: [1/5 W]; W: [1:1, $11.5]</v>
      </c>
      <c r="N547" s="65" t="str">
        <f>IFERROR(__xludf.DUMMYFUNCTION("""COMPUTED_VALUE"""),"")</f>
        <v/>
      </c>
      <c r="O547" s="66">
        <f>IFERROR(__xludf.DUMMYFUNCTION("""COMPUTED_VALUE"""),0.0)</f>
        <v>0</v>
      </c>
      <c r="P547" s="67"/>
      <c r="Q547" s="68">
        <f>IFERROR(__xludf.DUMMYFUNCTION("""COMPUTED_VALUE"""),200.0)</f>
        <v>200</v>
      </c>
      <c r="R547" s="69" t="str">
        <f>IFERROR(__xludf.DUMMYFUNCTION("""COMPUTED_VALUE"""),"Cantor Fitzgerald &amp; Co.")</f>
        <v>Cantor Fitzgerald &amp; Co.</v>
      </c>
      <c r="S547" s="64">
        <f>IFERROR(__xludf.DUMMYFUNCTION("""COMPUTED_VALUE"""),45086.0)</f>
        <v>45086</v>
      </c>
      <c r="T547" s="70" t="str">
        <f>IFERROR(__xludf.DUMMYFUNCTION("""COMPUTED_VALUE"""),"")</f>
        <v/>
      </c>
      <c r="U547" s="71" t="str">
        <f>IFERROR(__xludf.DUMMYFUNCTION("""COMPUTED_VALUE"""),"https://www.sec.gov/cgi-bin/browse-edgar?CIK=1847416")</f>
        <v>https://www.sec.gov/cgi-bin/browse-edgar?CIK=1847416</v>
      </c>
      <c r="V547" s="72" t="str">
        <f>IFERROR(__xludf.DUMMYFUNCTION("""COMPUTED_VALUE"""),"            ")</f>
        <v>            </v>
      </c>
      <c r="W547" s="73"/>
      <c r="X547" s="74"/>
      <c r="Y547" s="75"/>
      <c r="Z547" s="60"/>
      <c r="AA547" s="60"/>
      <c r="AB547" s="60"/>
      <c r="AC547" s="60"/>
      <c r="AD547" s="73"/>
      <c r="AE547" s="73"/>
      <c r="AF547" s="76"/>
      <c r="AG547" s="60"/>
    </row>
    <row r="548">
      <c r="A548" s="88" t="str">
        <f>IFERROR(__xludf.DUMMYFUNCTION("""COMPUTED_VALUE"""),"OSAA")</f>
        <v>OSAA</v>
      </c>
      <c r="B548" s="55" t="str">
        <f>IFERROR(__xludf.DUMMYFUNCTION("""COMPUTED_VALUE"""),"OS Acquisition Corp.")</f>
        <v>OS Acquisition Corp.</v>
      </c>
      <c r="C548" s="56" t="str">
        <f>IFERROR(__xludf.DUMMYFUNCTION("""COMPUTED_VALUE"""),"Pre IPO")</f>
        <v>Pre IPO</v>
      </c>
      <c r="D548" s="77" t="str">
        <f>IFERROR(__xludf.DUMMYFUNCTION("""COMPUTED_VALUE"""),"Healthcare Tech")</f>
        <v>Healthcare Tech</v>
      </c>
      <c r="E548" s="58"/>
      <c r="F548" s="59" t="str">
        <f>IFERROR(__xludf.DUMMYFUNCTION("""COMPUTED_VALUE"""),"Jeff Klunzinger (Co-founder/GP, OS Fund)")</f>
        <v>Jeff Klunzinger (Co-founder/GP, OS Fund)</v>
      </c>
      <c r="G548" s="60">
        <f>IFERROR(__xludf.DUMMYFUNCTION("""COMPUTED_VALUE"""),1.5E8)</f>
        <v>150000000</v>
      </c>
      <c r="H548" s="60" t="str">
        <f>IFERROR(__xludf.DUMMYFUNCTION("""COMPUTED_VALUE""")," ")</f>
        <v> </v>
      </c>
      <c r="I548" s="66" t="str">
        <f>IFERROR(__xludf.DUMMYFUNCTION("""COMPUTED_VALUE""")," ")</f>
        <v> </v>
      </c>
      <c r="J548" s="62" t="str">
        <f>IFERROR(__xludf.DUMMYFUNCTION("""COMPUTED_VALUE""")," ")</f>
        <v> </v>
      </c>
      <c r="K548" s="59" t="str">
        <f>IFERROR(__xludf.DUMMYFUNCTION("""COMPUTED_VALUE""")," ")</f>
        <v> </v>
      </c>
      <c r="L548" s="87" t="str">
        <f>IFERROR(__xludf.DUMMYFUNCTION("""COMPUTED_VALUE""")," ")</f>
        <v> </v>
      </c>
      <c r="M548" s="64" t="str">
        <f>IFERROR(__xludf.DUMMYFUNCTION("""COMPUTED_VALUE"""),"U: [1/3 W]; W: [1:1, $11.5]")</f>
        <v>U: [1/3 W]; W: [1:1, $11.5]</v>
      </c>
      <c r="N548" s="65" t="str">
        <f>IFERROR(__xludf.DUMMYFUNCTION("""COMPUTED_VALUE"""),"")</f>
        <v/>
      </c>
      <c r="O548" s="66">
        <f>IFERROR(__xludf.DUMMYFUNCTION("""COMPUTED_VALUE"""),0.0)</f>
        <v>0</v>
      </c>
      <c r="P548" s="67"/>
      <c r="Q548" s="68">
        <f>IFERROR(__xludf.DUMMYFUNCTION("""COMPUTED_VALUE"""),150.0)</f>
        <v>150</v>
      </c>
      <c r="R548" s="69" t="str">
        <f>IFERROR(__xludf.DUMMYFUNCTION("""COMPUTED_VALUE"""),"Citigroup")</f>
        <v>Citigroup</v>
      </c>
      <c r="S548" s="64">
        <f>IFERROR(__xludf.DUMMYFUNCTION("""COMPUTED_VALUE"""),45086.0)</f>
        <v>45086</v>
      </c>
      <c r="T548" s="70" t="str">
        <f>IFERROR(__xludf.DUMMYFUNCTION("""COMPUTED_VALUE"""),"")</f>
        <v/>
      </c>
      <c r="U548" s="71" t="str">
        <f>IFERROR(__xludf.DUMMYFUNCTION("""COMPUTED_VALUE"""),"https://www.sec.gov/cgi-bin/browse-edgar?CIK=1845619")</f>
        <v>https://www.sec.gov/cgi-bin/browse-edgar?CIK=1845619</v>
      </c>
      <c r="V548" s="72" t="str">
        <f>IFERROR(__xludf.DUMMYFUNCTION("""COMPUTED_VALUE"""),"           Top Tier UW ")</f>
        <v>           Top Tier UW </v>
      </c>
      <c r="W548" s="73"/>
      <c r="X548" s="74"/>
      <c r="Y548" s="75"/>
      <c r="Z548" s="60"/>
      <c r="AA548" s="60"/>
      <c r="AB548" s="60"/>
      <c r="AC548" s="60"/>
      <c r="AD548" s="73"/>
      <c r="AE548" s="73"/>
      <c r="AF548" s="76"/>
      <c r="AG548" s="60"/>
    </row>
    <row r="549">
      <c r="A549" s="88" t="str">
        <f>IFERROR(__xludf.DUMMYFUNCTION("""COMPUTED_VALUE"""),"OSI")</f>
        <v>OSI</v>
      </c>
      <c r="B549" s="55" t="str">
        <f>IFERROR(__xludf.DUMMYFUNCTION("""COMPUTED_VALUE"""),"Osiris Acquisition Corp.")</f>
        <v>Osiris Acquisition Corp.</v>
      </c>
      <c r="C549" s="56" t="str">
        <f>IFERROR(__xludf.DUMMYFUNCTION("""COMPUTED_VALUE"""),"Pre IPO")</f>
        <v>Pre IPO</v>
      </c>
      <c r="D549" s="57" t="str">
        <f>IFERROR(__xludf.DUMMYFUNCTION("""COMPUTED_VALUE"""),"Consumer, Retail, and Leisure")</f>
        <v>Consumer, Retail, and Leisure</v>
      </c>
      <c r="E549" s="58"/>
      <c r="F549" s="59" t="str">
        <f>IFERROR(__xludf.DUMMYFUNCTION("""COMPUTED_VALUE"""),"Omar Johnson (Former CMO of Beats by Dr. Dre), Dhiren Fonseca  (Former Chief Commercial Officer of Expedia, and Director of Alaska Air Group)")</f>
        <v>Omar Johnson (Former CMO of Beats by Dr. Dre), Dhiren Fonseca  (Former Chief Commercial Officer of Expedia, and Director of Alaska Air Group)</v>
      </c>
      <c r="G549" s="60">
        <f>IFERROR(__xludf.DUMMYFUNCTION("""COMPUTED_VALUE"""),2.5E8)</f>
        <v>250000000</v>
      </c>
      <c r="H549" s="60" t="str">
        <f>IFERROR(__xludf.DUMMYFUNCTION("""COMPUTED_VALUE""")," ")</f>
        <v> </v>
      </c>
      <c r="I549" s="66" t="str">
        <f>IFERROR(__xludf.DUMMYFUNCTION("""COMPUTED_VALUE""")," ")</f>
        <v> </v>
      </c>
      <c r="J549" s="62" t="str">
        <f>IFERROR(__xludf.DUMMYFUNCTION("""COMPUTED_VALUE""")," ")</f>
        <v> </v>
      </c>
      <c r="K549" s="59" t="str">
        <f>IFERROR(__xludf.DUMMYFUNCTION("""COMPUTED_VALUE""")," ")</f>
        <v> </v>
      </c>
      <c r="L549" s="87" t="str">
        <f>IFERROR(__xludf.DUMMYFUNCTION("""COMPUTED_VALUE""")," ")</f>
        <v> </v>
      </c>
      <c r="M549" s="64" t="str">
        <f>IFERROR(__xludf.DUMMYFUNCTION("""COMPUTED_VALUE"""),"U: [1/2 W]; W: [1:1, $11.5]")</f>
        <v>U: [1/2 W]; W: [1:1, $11.5]</v>
      </c>
      <c r="N549" s="65" t="str">
        <f>IFERROR(__xludf.DUMMYFUNCTION("""COMPUTED_VALUE"""),"")</f>
        <v/>
      </c>
      <c r="O549" s="66">
        <f>IFERROR(__xludf.DUMMYFUNCTION("""COMPUTED_VALUE"""),0.0)</f>
        <v>0</v>
      </c>
      <c r="P549" s="67"/>
      <c r="Q549" s="68">
        <f>IFERROR(__xludf.DUMMYFUNCTION("""COMPUTED_VALUE"""),250.0)</f>
        <v>250</v>
      </c>
      <c r="R549" s="69" t="str">
        <f>IFERROR(__xludf.DUMMYFUNCTION("""COMPUTED_VALUE"""),"Jefferies")</f>
        <v>Jefferies</v>
      </c>
      <c r="S549" s="64">
        <f>IFERROR(__xludf.DUMMYFUNCTION("""COMPUTED_VALUE"""),45086.0)</f>
        <v>45086</v>
      </c>
      <c r="T549" s="70" t="str">
        <f>IFERROR(__xludf.DUMMYFUNCTION("""COMPUTED_VALUE"""),"")</f>
        <v/>
      </c>
      <c r="U549" s="71" t="str">
        <f>IFERROR(__xludf.DUMMYFUNCTION("""COMPUTED_VALUE"""),"https://www.sec.gov/cgi-bin/browse-edgar?CIK=1832136")</f>
        <v>https://www.sec.gov/cgi-bin/browse-edgar?CIK=1832136</v>
      </c>
      <c r="V549" s="72" t="str">
        <f>IFERROR(__xludf.DUMMYFUNCTION("""COMPUTED_VALUE"""),"            ")</f>
        <v>            </v>
      </c>
      <c r="W549" s="73"/>
      <c r="X549" s="74"/>
      <c r="Y549" s="75"/>
      <c r="Z549" s="60"/>
      <c r="AA549" s="60"/>
      <c r="AB549" s="60"/>
      <c r="AC549" s="60"/>
      <c r="AD549" s="73"/>
      <c r="AE549" s="73"/>
      <c r="AF549" s="76"/>
      <c r="AG549" s="60"/>
    </row>
    <row r="550">
      <c r="A550" s="54" t="str">
        <f>IFERROR(__xludf.DUMMYFUNCTION("""COMPUTED_VALUE"""),"OSTR")</f>
        <v>OSTR</v>
      </c>
      <c r="B550" s="55" t="str">
        <f>IFERROR(__xludf.DUMMYFUNCTION("""COMPUTED_VALUE"""),"Oyster Enterprises Acquisition Corp.")</f>
        <v>Oyster Enterprises Acquisition Corp.</v>
      </c>
      <c r="C550" s="56" t="str">
        <f>IFERROR(__xludf.DUMMYFUNCTION("""COMPUTED_VALUE"""),"Searching")</f>
        <v>Searching</v>
      </c>
      <c r="D550" s="57"/>
      <c r="E550" s="58"/>
      <c r="F550" s="59" t="str">
        <f>IFERROR(__xludf.DUMMYFUNCTION("""COMPUTED_VALUE"""),"Heath Freeman (Co-founder/President, Alden Global)")</f>
        <v>Heath Freeman (Co-founder/President, Alden Global)</v>
      </c>
      <c r="G550" s="60">
        <f>IFERROR(__xludf.DUMMYFUNCTION("""COMPUTED_VALUE"""),2.0E8)</f>
        <v>200000000</v>
      </c>
      <c r="H550" s="60">
        <f>IFERROR(__xludf.DUMMYFUNCTION("""COMPUTED_VALUE"""),6854706.0)</f>
        <v>6854706</v>
      </c>
      <c r="I550" s="66">
        <f>IFERROR(__xludf.DUMMYFUNCTION("""COMPUTED_VALUE"""),9.69)</f>
        <v>9.69</v>
      </c>
      <c r="J550" s="62">
        <f>IFERROR(__xludf.DUMMYFUNCTION("""COMPUTED_VALUE"""),0.00103)</f>
        <v>0.00103</v>
      </c>
      <c r="K550" s="59">
        <f>IFERROR(__xludf.DUMMYFUNCTION("""COMPUTED_VALUE"""),9.94)</f>
        <v>9.94</v>
      </c>
      <c r="L550" s="87">
        <f>IFERROR(__xludf.DUMMYFUNCTION("""COMPUTED_VALUE"""),0.56)</f>
        <v>0.56</v>
      </c>
      <c r="M550" s="64" t="str">
        <f>IFERROR(__xludf.DUMMYFUNCTION("""COMPUTED_VALUE"""),"U: [1/2 W]; W: [1:1, $11.5]")</f>
        <v>U: [1/2 W]; W: [1:1, $11.5]</v>
      </c>
      <c r="N550" s="65" t="str">
        <f>IFERROR(__xludf.DUMMYFUNCTION("""COMPUTED_VALUE"""),"")</f>
        <v/>
      </c>
      <c r="O550" s="66">
        <f>IFERROR(__xludf.DUMMYFUNCTION("""COMPUTED_VALUE"""),0.0)</f>
        <v>0</v>
      </c>
      <c r="P550" s="67">
        <f>IFERROR(__xludf.DUMMYFUNCTION("""COMPUTED_VALUE"""),44215.0)</f>
        <v>44215</v>
      </c>
      <c r="Q550" s="68">
        <f>IFERROR(__xludf.DUMMYFUNCTION("""COMPUTED_VALUE"""),200.0)</f>
        <v>200</v>
      </c>
      <c r="R550" s="85" t="str">
        <f>IFERROR(__xludf.DUMMYFUNCTION("""COMPUTED_VALUE"""),"Imperial Capital")</f>
        <v>Imperial Capital</v>
      </c>
      <c r="S550" s="64">
        <f>IFERROR(__xludf.DUMMYFUNCTION("""COMPUTED_VALUE"""),44945.0)</f>
        <v>44945</v>
      </c>
      <c r="T550" s="70">
        <f>IFERROR(__xludf.DUMMYFUNCTION("""COMPUTED_VALUE"""),0.11095890410958904)</f>
        <v>0.1109589041</v>
      </c>
      <c r="U550" s="71" t="str">
        <f>IFERROR(__xludf.DUMMYFUNCTION("""COMPUTED_VALUE"""),"https://www.sec.gov/cgi-bin/browse-edgar?CIK=1834226")</f>
        <v>https://www.sec.gov/cgi-bin/browse-edgar?CIK=1834226</v>
      </c>
      <c r="V550" s="72" t="str">
        <f>IFERROR(__xludf.DUMMYFUNCTION("""COMPUTED_VALUE""")," Trading Below $10 (Common)           ")</f>
        <v> Trading Below $10 (Common)           </v>
      </c>
      <c r="W550" s="73"/>
      <c r="X550" s="74"/>
      <c r="Y550" s="75"/>
      <c r="Z550" s="60"/>
      <c r="AA550" s="60"/>
      <c r="AB550" s="60"/>
      <c r="AC550" s="60"/>
      <c r="AD550" s="73"/>
      <c r="AE550" s="73"/>
      <c r="AF550" s="76"/>
      <c r="AG550" s="60" t="str">
        <f>IFERROR(__xludf.DUMMYFUNCTION("""COMPUTED_VALUE"""),"")</f>
        <v/>
      </c>
    </row>
    <row r="551">
      <c r="A551" s="88" t="str">
        <f>IFERROR(__xludf.DUMMYFUNCTION("""COMPUTED_VALUE"""),"OTEC")</f>
        <v>OTEC</v>
      </c>
      <c r="B551" s="55" t="str">
        <f>IFERROR(__xludf.DUMMYFUNCTION("""COMPUTED_VALUE"""),"OceanTech Acquisitions I Corp.")</f>
        <v>OceanTech Acquisitions I Corp.</v>
      </c>
      <c r="C551" s="56" t="str">
        <f>IFERROR(__xludf.DUMMYFUNCTION("""COMPUTED_VALUE"""),"Pre IPO")</f>
        <v>Pre IPO</v>
      </c>
      <c r="D551" s="57"/>
      <c r="E551" s="58"/>
      <c r="F551" s="59"/>
      <c r="G551" s="60">
        <f>IFERROR(__xludf.DUMMYFUNCTION("""COMPUTED_VALUE"""),1.0E8)</f>
        <v>100000000</v>
      </c>
      <c r="H551" s="60" t="str">
        <f>IFERROR(__xludf.DUMMYFUNCTION("""COMPUTED_VALUE""")," ")</f>
        <v> </v>
      </c>
      <c r="I551" s="66" t="str">
        <f>IFERROR(__xludf.DUMMYFUNCTION("""COMPUTED_VALUE""")," ")</f>
        <v> </v>
      </c>
      <c r="J551" s="62" t="str">
        <f>IFERROR(__xludf.DUMMYFUNCTION("""COMPUTED_VALUE""")," ")</f>
        <v> </v>
      </c>
      <c r="K551" s="59" t="str">
        <f>IFERROR(__xludf.DUMMYFUNCTION("""COMPUTED_VALUE""")," ")</f>
        <v> </v>
      </c>
      <c r="L551" s="87" t="str">
        <f>IFERROR(__xludf.DUMMYFUNCTION("""COMPUTED_VALUE""")," ")</f>
        <v> </v>
      </c>
      <c r="M551" s="64" t="str">
        <f>IFERROR(__xludf.DUMMYFUNCTION("""COMPUTED_VALUE"""),"U: [1/2 W]; W: [1:1, $11.5]")</f>
        <v>U: [1/2 W]; W: [1:1, $11.5]</v>
      </c>
      <c r="N551" s="65" t="str">
        <f>IFERROR(__xludf.DUMMYFUNCTION("""COMPUTED_VALUE"""),"")</f>
        <v/>
      </c>
      <c r="O551" s="66">
        <f>IFERROR(__xludf.DUMMYFUNCTION("""COMPUTED_VALUE"""),0.0)</f>
        <v>0</v>
      </c>
      <c r="P551" s="67"/>
      <c r="Q551" s="68">
        <f>IFERROR(__xludf.DUMMYFUNCTION("""COMPUTED_VALUE"""),100.0)</f>
        <v>100</v>
      </c>
      <c r="R551" s="69" t="str">
        <f>IFERROR(__xludf.DUMMYFUNCTION("""COMPUTED_VALUE"""),"Maxim Group LLC
")</f>
        <v>Maxim Group LLC
</v>
      </c>
      <c r="S551" s="64">
        <f>IFERROR(__xludf.DUMMYFUNCTION("""COMPUTED_VALUE"""),45086.0)</f>
        <v>45086</v>
      </c>
      <c r="T551" s="70" t="str">
        <f>IFERROR(__xludf.DUMMYFUNCTION("""COMPUTED_VALUE"""),"")</f>
        <v/>
      </c>
      <c r="U551" s="71" t="str">
        <f>IFERROR(__xludf.DUMMYFUNCTION("""COMPUTED_VALUE"""),"https://www.sec.gov/cgi-bin/browse-edgar?CIK=1846809")</f>
        <v>https://www.sec.gov/cgi-bin/browse-edgar?CIK=1846809</v>
      </c>
      <c r="V551" s="72" t="str">
        <f>IFERROR(__xludf.DUMMYFUNCTION("""COMPUTED_VALUE"""),"        New Registration    ")</f>
        <v>        New Registration    </v>
      </c>
      <c r="W551" s="73"/>
      <c r="X551" s="74"/>
      <c r="Y551" s="75"/>
      <c r="Z551" s="60"/>
      <c r="AA551" s="60"/>
      <c r="AB551" s="60"/>
      <c r="AC551" s="60"/>
      <c r="AD551" s="73"/>
      <c r="AE551" s="73"/>
      <c r="AF551" s="76"/>
      <c r="AG551" s="60"/>
    </row>
    <row r="552">
      <c r="A552" s="88" t="str">
        <f>IFERROR(__xludf.DUMMYFUNCTION("""COMPUTED_VALUE"""),"OTII")</f>
        <v>OTII</v>
      </c>
      <c r="B552" s="55" t="str">
        <f>IFERROR(__xludf.DUMMYFUNCTION("""COMPUTED_VALUE"""),"Osprey Technology Acquisition Corp. II")</f>
        <v>Osprey Technology Acquisition Corp. II</v>
      </c>
      <c r="C552" s="56" t="str">
        <f>IFERROR(__xludf.DUMMYFUNCTION("""COMPUTED_VALUE"""),"Pre IPO")</f>
        <v>Pre IPO</v>
      </c>
      <c r="D552" s="57"/>
      <c r="E552" s="58"/>
      <c r="F552" s="59"/>
      <c r="G552" s="60">
        <f>IFERROR(__xludf.DUMMYFUNCTION("""COMPUTED_VALUE"""),3.25E8)</f>
        <v>325000000</v>
      </c>
      <c r="H552" s="60" t="str">
        <f>IFERROR(__xludf.DUMMYFUNCTION("""COMPUTED_VALUE""")," ")</f>
        <v> </v>
      </c>
      <c r="I552" s="66" t="str">
        <f>IFERROR(__xludf.DUMMYFUNCTION("""COMPUTED_VALUE""")," ")</f>
        <v> </v>
      </c>
      <c r="J552" s="62" t="str">
        <f>IFERROR(__xludf.DUMMYFUNCTION("""COMPUTED_VALUE""")," ")</f>
        <v> </v>
      </c>
      <c r="K552" s="59" t="str">
        <f>IFERROR(__xludf.DUMMYFUNCTION("""COMPUTED_VALUE""")," ")</f>
        <v> </v>
      </c>
      <c r="L552" s="87" t="str">
        <f>IFERROR(__xludf.DUMMYFUNCTION("""COMPUTED_VALUE""")," ")</f>
        <v> </v>
      </c>
      <c r="M552" s="64" t="str">
        <f>IFERROR(__xludf.DUMMYFUNCTION("""COMPUTED_VALUE"""),"U: [1/4 W]; W: [1:1, $11.5]")</f>
        <v>U: [1/4 W]; W: [1:1, $11.5]</v>
      </c>
      <c r="N552" s="65" t="str">
        <f>IFERROR(__xludf.DUMMYFUNCTION("""COMPUTED_VALUE"""),"")</f>
        <v/>
      </c>
      <c r="O552" s="66">
        <f>IFERROR(__xludf.DUMMYFUNCTION("""COMPUTED_VALUE"""),0.0)</f>
        <v>0</v>
      </c>
      <c r="P552" s="67"/>
      <c r="Q552" s="68">
        <f>IFERROR(__xludf.DUMMYFUNCTION("""COMPUTED_VALUE"""),325.0)</f>
        <v>325</v>
      </c>
      <c r="R552" s="69" t="str">
        <f>IFERROR(__xludf.DUMMYFUNCTION("""COMPUTED_VALUE"""),"Credit Suisse")</f>
        <v>Credit Suisse</v>
      </c>
      <c r="S552" s="64">
        <f>IFERROR(__xludf.DUMMYFUNCTION("""COMPUTED_VALUE"""),45086.0)</f>
        <v>45086</v>
      </c>
      <c r="T552" s="70" t="str">
        <f>IFERROR(__xludf.DUMMYFUNCTION("""COMPUTED_VALUE"""),"")</f>
        <v/>
      </c>
      <c r="U552" s="71" t="str">
        <f>IFERROR(__xludf.DUMMYFUNCTION("""COMPUTED_VALUE"""),"https://www.sec.gov/cgi-bin/browse-edgar?CIK=1825377")</f>
        <v>https://www.sec.gov/cgi-bin/browse-edgar?CIK=1825377</v>
      </c>
      <c r="V552" s="72" t="str">
        <f>IFERROR(__xludf.DUMMYFUNCTION("""COMPUTED_VALUE"""),"            ")</f>
        <v>            </v>
      </c>
      <c r="W552" s="73"/>
      <c r="X552" s="74"/>
      <c r="Y552" s="75"/>
      <c r="Z552" s="60"/>
      <c r="AA552" s="60"/>
      <c r="AB552" s="60"/>
      <c r="AC552" s="60"/>
      <c r="AD552" s="73"/>
      <c r="AE552" s="73"/>
      <c r="AF552" s="76"/>
      <c r="AG552" s="60"/>
    </row>
    <row r="553">
      <c r="A553" s="54" t="str">
        <f>IFERROR(__xludf.DUMMYFUNCTION("""COMPUTED_VALUE"""),"OTRA")</f>
        <v>OTRA</v>
      </c>
      <c r="B553" s="55" t="str">
        <f>IFERROR(__xludf.DUMMYFUNCTION("""COMPUTED_VALUE"""),"OTR Acquisition Corp.")</f>
        <v>OTR Acquisition Corp.</v>
      </c>
      <c r="C553" s="56" t="str">
        <f>IFERROR(__xludf.DUMMYFUNCTION("""COMPUTED_VALUE"""),"Searching")</f>
        <v>Searching</v>
      </c>
      <c r="D553" s="57"/>
      <c r="E553" s="58"/>
      <c r="F553" s="59"/>
      <c r="G553" s="60">
        <f>IFERROR(__xludf.DUMMYFUNCTION("""COMPUTED_VALUE"""),1.07094493E8)</f>
        <v>107094493</v>
      </c>
      <c r="H553" s="60">
        <f>IFERROR(__xludf.DUMMYFUNCTION("""COMPUTED_VALUE"""),1.06833299E8)</f>
        <v>106833299</v>
      </c>
      <c r="I553" s="66">
        <f>IFERROR(__xludf.DUMMYFUNCTION("""COMPUTED_VALUE"""),10.05)</f>
        <v>10.05</v>
      </c>
      <c r="J553" s="62">
        <f>IFERROR(__xludf.DUMMYFUNCTION("""COMPUTED_VALUE"""),-0.0118)</f>
        <v>-0.0118</v>
      </c>
      <c r="K553" s="59">
        <f>IFERROR(__xludf.DUMMYFUNCTION("""COMPUTED_VALUE"""),10.31)</f>
        <v>10.31</v>
      </c>
      <c r="L553" s="87">
        <f>IFERROR(__xludf.DUMMYFUNCTION("""COMPUTED_VALUE"""),0.66)</f>
        <v>0.66</v>
      </c>
      <c r="M553" s="64" t="str">
        <f>IFERROR(__xludf.DUMMYFUNCTION("""COMPUTED_VALUE"""),"U: [1/2 W]; W: [1:1, $11.5]")</f>
        <v>U: [1/2 W]; W: [1:1, $11.5]</v>
      </c>
      <c r="N553" s="65" t="str">
        <f>IFERROR(__xludf.DUMMYFUNCTION("""COMPUTED_VALUE"""),"")</f>
        <v/>
      </c>
      <c r="O553" s="66">
        <f>IFERROR(__xludf.DUMMYFUNCTION("""COMPUTED_VALUE"""),0.0)</f>
        <v>0</v>
      </c>
      <c r="P553" s="67">
        <f>IFERROR(__xludf.DUMMYFUNCTION("""COMPUTED_VALUE"""),44152.0)</f>
        <v>44152</v>
      </c>
      <c r="Q553" s="68">
        <f>IFERROR(__xludf.DUMMYFUNCTION("""COMPUTED_VALUE"""),107.085337)</f>
        <v>107.085337</v>
      </c>
      <c r="R553" s="85" t="str">
        <f>IFERROR(__xludf.DUMMYFUNCTION("""COMPUTED_VALUE"""),"Maxim")</f>
        <v>Maxim</v>
      </c>
      <c r="S553" s="64">
        <f>IFERROR(__xludf.DUMMYFUNCTION("""COMPUTED_VALUE"""),44699.5)</f>
        <v>44699.5</v>
      </c>
      <c r="T553" s="70">
        <f>IFERROR(__xludf.DUMMYFUNCTION("""COMPUTED_VALUE"""),0.26301369863013696)</f>
        <v>0.2630136986</v>
      </c>
      <c r="U553" s="71" t="str">
        <f>IFERROR(__xludf.DUMMYFUNCTION("""COMPUTED_VALUE"""),"https://www.sec.gov/cgi-bin/browse-edgar?CIK=1821318")</f>
        <v>https://www.sec.gov/cgi-bin/browse-edgar?CIK=1821318</v>
      </c>
      <c r="V553" s="72" t="str">
        <f>IFERROR(__xludf.DUMMYFUNCTION("""COMPUTED_VALUE"""),"            ")</f>
        <v>            </v>
      </c>
      <c r="W553" s="73"/>
      <c r="X553" s="74"/>
      <c r="Y553" s="75"/>
      <c r="Z553" s="60"/>
      <c r="AA553" s="60"/>
      <c r="AB553" s="60"/>
      <c r="AC553" s="60"/>
      <c r="AD553" s="73"/>
      <c r="AE553" s="73"/>
      <c r="AF553" s="76"/>
      <c r="AG553" s="60" t="str">
        <f>IFERROR(__xludf.DUMMYFUNCTION("""COMPUTED_VALUE"""),"")</f>
        <v/>
      </c>
    </row>
    <row r="554">
      <c r="A554" s="88" t="str">
        <f>IFERROR(__xludf.DUMMYFUNCTION("""COMPUTED_VALUE"""),"OUTR")</f>
        <v>OUTR</v>
      </c>
      <c r="B554" s="55" t="str">
        <f>IFERROR(__xludf.DUMMYFUNCTION("""COMPUTED_VALUE"""),"Space Acquisition Corp. I")</f>
        <v>Space Acquisition Corp. I</v>
      </c>
      <c r="C554" s="56" t="str">
        <f>IFERROR(__xludf.DUMMYFUNCTION("""COMPUTED_VALUE"""),"Pre IPO")</f>
        <v>Pre IPO</v>
      </c>
      <c r="D554" s="77" t="str">
        <f>IFERROR(__xludf.DUMMYFUNCTION("""COMPUTED_VALUE"""),"Space Economy")</f>
        <v>Space Economy</v>
      </c>
      <c r="E554" s="58"/>
      <c r="F554" s="59" t="str">
        <f>IFERROR(__xludf.DUMMYFUNCTION("""COMPUTED_VALUE"""),"Raphael Roettgen (Founder of E2MC)")</f>
        <v>Raphael Roettgen (Founder of E2MC)</v>
      </c>
      <c r="G554" s="60">
        <f>IFERROR(__xludf.DUMMYFUNCTION("""COMPUTED_VALUE"""),3.0E8)</f>
        <v>300000000</v>
      </c>
      <c r="H554" s="60" t="str">
        <f>IFERROR(__xludf.DUMMYFUNCTION("""COMPUTED_VALUE""")," ")</f>
        <v> </v>
      </c>
      <c r="I554" s="66" t="str">
        <f>IFERROR(__xludf.DUMMYFUNCTION("""COMPUTED_VALUE""")," ")</f>
        <v> </v>
      </c>
      <c r="J554" s="62" t="str">
        <f>IFERROR(__xludf.DUMMYFUNCTION("""COMPUTED_VALUE""")," ")</f>
        <v> </v>
      </c>
      <c r="K554" s="59" t="str">
        <f>IFERROR(__xludf.DUMMYFUNCTION("""COMPUTED_VALUE""")," ")</f>
        <v> </v>
      </c>
      <c r="L554" s="87" t="str">
        <f>IFERROR(__xludf.DUMMYFUNCTION("""COMPUTED_VALUE""")," ")</f>
        <v> </v>
      </c>
      <c r="M554" s="64" t="str">
        <f>IFERROR(__xludf.DUMMYFUNCTION("""COMPUTED_VALUE"""),"U: [1/3 W]; W: [1:1, $11.5]")</f>
        <v>U: [1/3 W]; W: [1:1, $11.5]</v>
      </c>
      <c r="N554" s="65" t="str">
        <f>IFERROR(__xludf.DUMMYFUNCTION("""COMPUTED_VALUE"""),"")</f>
        <v/>
      </c>
      <c r="O554" s="66">
        <f>IFERROR(__xludf.DUMMYFUNCTION("""COMPUTED_VALUE"""),0.0)</f>
        <v>0</v>
      </c>
      <c r="P554" s="67"/>
      <c r="Q554" s="68">
        <f>IFERROR(__xludf.DUMMYFUNCTION("""COMPUTED_VALUE"""),300.0)</f>
        <v>300</v>
      </c>
      <c r="R554" s="69" t="str">
        <f>IFERROR(__xludf.DUMMYFUNCTION("""COMPUTED_VALUE"""),"Cantor")</f>
        <v>Cantor</v>
      </c>
      <c r="S554" s="64">
        <f>IFERROR(__xludf.DUMMYFUNCTION("""COMPUTED_VALUE"""),45086.0)</f>
        <v>45086</v>
      </c>
      <c r="T554" s="70" t="str">
        <f>IFERROR(__xludf.DUMMYFUNCTION("""COMPUTED_VALUE"""),"")</f>
        <v/>
      </c>
      <c r="U554" s="71" t="str">
        <f>IFERROR(__xludf.DUMMYFUNCTION("""COMPUTED_VALUE"""),"https://www.sec.gov/cgi-bin/browse-edgar?CIK=1847619")</f>
        <v>https://www.sec.gov/cgi-bin/browse-edgar?CIK=1847619</v>
      </c>
      <c r="V554" s="72" t="str">
        <f>IFERROR(__xludf.DUMMYFUNCTION("""COMPUTED_VALUE"""),"Venture Capital            ")</f>
        <v>Venture Capital            </v>
      </c>
      <c r="W554" s="73"/>
      <c r="X554" s="74"/>
      <c r="Y554" s="75"/>
      <c r="Z554" s="60"/>
      <c r="AA554" s="60"/>
      <c r="AB554" s="60"/>
      <c r="AC554" s="60"/>
      <c r="AD554" s="73"/>
      <c r="AE554" s="73"/>
      <c r="AF554" s="76"/>
      <c r="AG554" s="60"/>
    </row>
    <row r="555">
      <c r="A555" s="54" t="str">
        <f>IFERROR(__xludf.DUMMYFUNCTION("""COMPUTED_VALUE"""),"PACE")</f>
        <v>PACE</v>
      </c>
      <c r="B555" s="55" t="str">
        <f>IFERROR(__xludf.DUMMYFUNCTION("""COMPUTED_VALUE"""),"TPG Pace Tech Opportunities Corp.")</f>
        <v>TPG Pace Tech Opportunities Corp.</v>
      </c>
      <c r="C555" s="56" t="str">
        <f>IFERROR(__xludf.DUMMYFUNCTION("""COMPUTED_VALUE"""),"Definitive Agreement")</f>
        <v>Definitive Agreement</v>
      </c>
      <c r="D555" s="57" t="str">
        <f>IFERROR(__xludf.DUMMYFUNCTION("""COMPUTED_VALUE"""),"Tech")</f>
        <v>Tech</v>
      </c>
      <c r="E555" s="58" t="str">
        <f>IFERROR(__xludf.DUMMYFUNCTION("""COMPUTED_VALUE"""),"Nerdy [DA: 01/29/21]")</f>
        <v>Nerdy [DA: 01/29/21]</v>
      </c>
      <c r="F555" s="59" t="str">
        <f>IFERROR(__xludf.DUMMYFUNCTION("""COMPUTED_VALUE"""),"TPG, Karl Peterson (Senior Partner of TPG; Managing Partner of TPG Pace Group), Kathleen Philips (Former COO, CFO, CLO of Zillow), Wendi Sturgis (CEO of Yext Europe), Greg Mrva (Former CFO, Stubhub)")</f>
        <v>TPG, Karl Peterson (Senior Partner of TPG; Managing Partner of TPG Pace Group), Kathleen Philips (Former COO, CFO, CLO of Zillow), Wendi Sturgis (CEO of Yext Europe), Greg Mrva (Former CFO, Stubhub)</v>
      </c>
      <c r="G555" s="60">
        <f>IFERROR(__xludf.DUMMYFUNCTION("""COMPUTED_VALUE"""),4.5E8)</f>
        <v>450000000</v>
      </c>
      <c r="H555" s="60">
        <f>IFERROR(__xludf.DUMMYFUNCTION("""COMPUTED_VALUE"""),4.509E8)</f>
        <v>450900000</v>
      </c>
      <c r="I555" s="66">
        <f>IFERROR(__xludf.DUMMYFUNCTION("""COMPUTED_VALUE"""),10.02)</f>
        <v>10.02</v>
      </c>
      <c r="J555" s="62"/>
      <c r="K555" s="59" t="str">
        <f>IFERROR(__xludf.DUMMYFUNCTION("""COMPUTED_VALUE""")," ")</f>
        <v> </v>
      </c>
      <c r="L555" s="87">
        <f>IFERROR(__xludf.DUMMYFUNCTION("""COMPUTED_VALUE"""),1.33)</f>
        <v>1.33</v>
      </c>
      <c r="M555" s="64" t="str">
        <f>IFERROR(__xludf.DUMMYFUNCTION("""COMPUTED_VALUE"""),"U: [1/5 W]; W: [1:1, $11.5]")</f>
        <v>U: [1/5 W]; W: [1:1, $11.5]</v>
      </c>
      <c r="N555" s="65" t="str">
        <f>IFERROR(__xludf.DUMMYFUNCTION("""COMPUTED_VALUE"""),"")</f>
        <v/>
      </c>
      <c r="O555" s="66">
        <f>IFERROR(__xludf.DUMMYFUNCTION("""COMPUTED_VALUE"""),0.0)</f>
        <v>0</v>
      </c>
      <c r="P555" s="67">
        <f>IFERROR(__xludf.DUMMYFUNCTION("""COMPUTED_VALUE"""),44110.0)</f>
        <v>44110</v>
      </c>
      <c r="Q555" s="68">
        <f>IFERROR(__xludf.DUMMYFUNCTION("""COMPUTED_VALUE"""),450.0)</f>
        <v>450</v>
      </c>
      <c r="R555" s="69" t="str">
        <f>IFERROR(__xludf.DUMMYFUNCTION("""COMPUTED_VALUE"""),"Deutsche Bank, JP Morgan, Barclays, TPG Capital BD")</f>
        <v>Deutsche Bank, JP Morgan, Barclays, TPG Capital BD</v>
      </c>
      <c r="S555" s="64">
        <f>IFERROR(__xludf.DUMMYFUNCTION("""COMPUTED_VALUE"""),44840.0)</f>
        <v>44840</v>
      </c>
      <c r="T555" s="70">
        <f>IFERROR(__xludf.DUMMYFUNCTION("""COMPUTED_VALUE"""),0.2547945205479452)</f>
        <v>0.2547945205</v>
      </c>
      <c r="U555" s="71" t="str">
        <f>IFERROR(__xludf.DUMMYFUNCTION("""COMPUTED_VALUE"""),"https://www.sec.gov/cgi-bin/browse-edgar?CIK=1819404")</f>
        <v>https://www.sec.gov/cgi-bin/browse-edgar?CIK=1819404</v>
      </c>
      <c r="V555" s="72" t="str">
        <f>IFERROR(__xludf.DUMMYFUNCTION("""COMPUTED_VALUE"""),"     Optionable    Well-known Sponsor Serial Sponsor Top Tier UW ")</f>
        <v>     Optionable    Well-known Sponsor Serial Sponsor Top Tier UW </v>
      </c>
      <c r="W555" s="73">
        <f>IFERROR(__xludf.DUMMYFUNCTION("""COMPUTED_VALUE"""),44225.0)</f>
        <v>44225</v>
      </c>
      <c r="X555" s="79">
        <f>IFERROR(__xludf.DUMMYFUNCTION("""COMPUTED_VALUE"""),3.8333333333333335)</f>
        <v>3.833333333</v>
      </c>
      <c r="Y555" s="80" t="str">
        <f>IFERROR(__xludf.DUMMYFUNCTION("""COMPUTED_VALUE"""),"https://www.businesswire.com/news/home/20210129005283/en/Nerdy-to-Become-Public-Company-via-Business-Combination-with-TPG-Pace-Tech-Opportunities")</f>
        <v>https://www.businesswire.com/news/home/20210129005283/en/Nerdy-to-Become-Public-Company-via-Business-Combination-with-TPG-Pace-Tech-Opportunities</v>
      </c>
      <c r="Z555" s="81" t="str">
        <f>IFERROR(__xludf.DUMMYFUNCTION("""COMPUTED_VALUE"""),"https://www.sec.gov/Archives/edgar/data/1819404/000119312521021623/d104457dex992.htm")</f>
        <v>https://www.sec.gov/Archives/edgar/data/1819404/000119312521021623/d104457dex992.htm</v>
      </c>
      <c r="AA555" s="60">
        <f>IFERROR(__xludf.DUMMYFUNCTION("""COMPUTED_VALUE"""),1.5E8)</f>
        <v>150000000</v>
      </c>
      <c r="AB555" s="60">
        <f>IFERROR(__xludf.DUMMYFUNCTION("""COMPUTED_VALUE"""),1.702E9)</f>
        <v>1702000000</v>
      </c>
      <c r="AC555" s="60">
        <f>IFERROR(__xludf.DUMMYFUNCTION("""COMPUTED_VALUE"""),1.405E9)</f>
        <v>1405000000</v>
      </c>
      <c r="AD555" s="73"/>
      <c r="AE555" s="73"/>
      <c r="AF555" s="76">
        <f>IFERROR(__xludf.DUMMYFUNCTION("""COMPUTED_VALUE"""),1.702E8)</f>
        <v>170200000</v>
      </c>
      <c r="AG555" s="60">
        <f>IFERROR(__xludf.DUMMYFUNCTION("""COMPUTED_VALUE"""),1.705404E9)</f>
        <v>1705404000</v>
      </c>
    </row>
    <row r="556">
      <c r="A556" s="54" t="str">
        <f>IFERROR(__xludf.DUMMYFUNCTION("""COMPUTED_VALUE"""),"PACX")</f>
        <v>PACX</v>
      </c>
      <c r="B556" s="55" t="str">
        <f>IFERROR(__xludf.DUMMYFUNCTION("""COMPUTED_VALUE"""),"Pioneer Merger Corp.")</f>
        <v>Pioneer Merger Corp.</v>
      </c>
      <c r="C556" s="56" t="str">
        <f>IFERROR(__xludf.DUMMYFUNCTION("""COMPUTED_VALUE"""),"Searching")</f>
        <v>Searching</v>
      </c>
      <c r="D556" s="57"/>
      <c r="E556" s="58"/>
      <c r="F556" s="59" t="str">
        <f>IFERROR(__xludf.DUMMYFUNCTION("""COMPUTED_VALUE"""),"Jonathan Christodoro (Fmr Managing Director, Icahn Capital; Director, PayPal, Herbalife, Xerox; Fmr Director, eBay, Lyft), Mitchell Caplan (Fmr CEO, E*Trade), Todd Davis (Co-founder/Fmr CEO, LifeLock)")</f>
        <v>Jonathan Christodoro (Fmr Managing Director, Icahn Capital; Director, PayPal, Herbalife, Xerox; Fmr Director, eBay, Lyft), Mitchell Caplan (Fmr CEO, E*Trade), Todd Davis (Co-founder/Fmr CEO, LifeLock)</v>
      </c>
      <c r="G556" s="60">
        <f>IFERROR(__xludf.DUMMYFUNCTION("""COMPUTED_VALUE"""),4.025E8)</f>
        <v>402500000</v>
      </c>
      <c r="H556" s="60">
        <f>IFERROR(__xludf.DUMMYFUNCTION("""COMPUTED_VALUE"""),3.9767E8)</f>
        <v>397670000</v>
      </c>
      <c r="I556" s="66">
        <f>IFERROR(__xludf.DUMMYFUNCTION("""COMPUTED_VALUE"""),9.88)</f>
        <v>9.88</v>
      </c>
      <c r="J556" s="62">
        <f>IFERROR(__xludf.DUMMYFUNCTION("""COMPUTED_VALUE"""),0.00919)</f>
        <v>0.00919</v>
      </c>
      <c r="K556" s="59">
        <f>IFERROR(__xludf.DUMMYFUNCTION("""COMPUTED_VALUE"""),10.19)</f>
        <v>10.19</v>
      </c>
      <c r="L556" s="87">
        <f>IFERROR(__xludf.DUMMYFUNCTION("""COMPUTED_VALUE"""),0.98)</f>
        <v>0.98</v>
      </c>
      <c r="M556" s="64" t="str">
        <f>IFERROR(__xludf.DUMMYFUNCTION("""COMPUTED_VALUE"""),"U: [1/3 W]; W: [1:1, $11.5]")</f>
        <v>U: [1/3 W]; W: [1:1, $11.5]</v>
      </c>
      <c r="N556" s="65" t="str">
        <f>IFERROR(__xludf.DUMMYFUNCTION("""COMPUTED_VALUE"""),"")</f>
        <v/>
      </c>
      <c r="O556" s="66">
        <f>IFERROR(__xludf.DUMMYFUNCTION("""COMPUTED_VALUE"""),0.0)</f>
        <v>0</v>
      </c>
      <c r="P556" s="67">
        <f>IFERROR(__xludf.DUMMYFUNCTION("""COMPUTED_VALUE"""),44203.0)</f>
        <v>44203</v>
      </c>
      <c r="Q556" s="68">
        <f>IFERROR(__xludf.DUMMYFUNCTION("""COMPUTED_VALUE"""),402.5)</f>
        <v>402.5</v>
      </c>
      <c r="R556" s="85" t="str">
        <f>IFERROR(__xludf.DUMMYFUNCTION("""COMPUTED_VALUE"""),"Citigroup")</f>
        <v>Citigroup</v>
      </c>
      <c r="S556" s="64">
        <f>IFERROR(__xludf.DUMMYFUNCTION("""COMPUTED_VALUE"""),44933.0)</f>
        <v>44933</v>
      </c>
      <c r="T556" s="70">
        <f>IFERROR(__xludf.DUMMYFUNCTION("""COMPUTED_VALUE"""),0.1273972602739726)</f>
        <v>0.1273972603</v>
      </c>
      <c r="U556" s="71" t="str">
        <f>IFERROR(__xludf.DUMMYFUNCTION("""COMPUTED_VALUE"""),"https://www.sec.gov/cgi-bin/browse-edgar?CIK=1829797")</f>
        <v>https://www.sec.gov/cgi-bin/browse-edgar?CIK=1829797</v>
      </c>
      <c r="V556" s="72" t="str">
        <f>IFERROR(__xludf.DUMMYFUNCTION("""COMPUTED_VALUE""")," Trading Below $10 (Common)          Top Tier UW ")</f>
        <v> Trading Below $10 (Common)          Top Tier UW </v>
      </c>
      <c r="W556" s="73"/>
      <c r="X556" s="74"/>
      <c r="Y556" s="75"/>
      <c r="Z556" s="60"/>
      <c r="AA556" s="60"/>
      <c r="AB556" s="60"/>
      <c r="AC556" s="60"/>
      <c r="AD556" s="73"/>
      <c r="AE556" s="73"/>
      <c r="AF556" s="76"/>
      <c r="AG556" s="60" t="str">
        <f>IFERROR(__xludf.DUMMYFUNCTION("""COMPUTED_VALUE"""),"")</f>
        <v/>
      </c>
    </row>
    <row r="557">
      <c r="A557" s="54" t="str">
        <f>IFERROR(__xludf.DUMMYFUNCTION("""COMPUTED_VALUE"""),"PAIC")</f>
        <v>PAIC</v>
      </c>
      <c r="B557" s="55" t="str">
        <f>IFERROR(__xludf.DUMMYFUNCTION("""COMPUTED_VALUE"""),"Petra Acquisition, Inc.")</f>
        <v>Petra Acquisition, Inc.</v>
      </c>
      <c r="C557" s="56" t="str">
        <f>IFERROR(__xludf.DUMMYFUNCTION("""COMPUTED_VALUE"""),"Searching")</f>
        <v>Searching</v>
      </c>
      <c r="D557" s="57" t="str">
        <f>IFERROR(__xludf.DUMMYFUNCTION("""COMPUTED_VALUE"""),"Healthcare")</f>
        <v>Healthcare</v>
      </c>
      <c r="E557" s="58"/>
      <c r="F557" s="59"/>
      <c r="G557" s="60">
        <f>IFERROR(__xludf.DUMMYFUNCTION("""COMPUTED_VALUE"""),7.3510915E7)</f>
        <v>73510915</v>
      </c>
      <c r="H557" s="60">
        <f>IFERROR(__xludf.DUMMYFUNCTION("""COMPUTED_VALUE"""),9.1613728E7)</f>
        <v>91613728</v>
      </c>
      <c r="I557" s="66">
        <f>IFERROR(__xludf.DUMMYFUNCTION("""COMPUTED_VALUE"""),10.07)</f>
        <v>10.07</v>
      </c>
      <c r="J557" s="62">
        <f>IFERROR(__xludf.DUMMYFUNCTION("""COMPUTED_VALUE"""),9.9E-4)</f>
        <v>0.00099</v>
      </c>
      <c r="K557" s="59">
        <f>IFERROR(__xludf.DUMMYFUNCTION("""COMPUTED_VALUE"""),10.45)</f>
        <v>10.45</v>
      </c>
      <c r="L557" s="87">
        <f>IFERROR(__xludf.DUMMYFUNCTION("""COMPUTED_VALUE"""),0.6443)</f>
        <v>0.6443</v>
      </c>
      <c r="M557" s="64" t="str">
        <f>IFERROR(__xludf.DUMMYFUNCTION("""COMPUTED_VALUE"""),"U: [1 W]; W: [1:1, $11.5]")</f>
        <v>U: [1 W]; W: [1:1, $11.5]</v>
      </c>
      <c r="N557" s="65" t="str">
        <f>IFERROR(__xludf.DUMMYFUNCTION("""COMPUTED_VALUE"""),"")</f>
        <v/>
      </c>
      <c r="O557" s="66">
        <f>IFERROR(__xludf.DUMMYFUNCTION("""COMPUTED_VALUE"""),0.0)</f>
        <v>0</v>
      </c>
      <c r="P557" s="67">
        <f>IFERROR(__xludf.DUMMYFUNCTION("""COMPUTED_VALUE"""),44112.0)</f>
        <v>44112</v>
      </c>
      <c r="Q557" s="68">
        <f>IFERROR(__xludf.DUMMYFUNCTION("""COMPUTED_VALUE"""),70.7)</f>
        <v>70.7</v>
      </c>
      <c r="R557" s="85" t="str">
        <f>IFERROR(__xludf.DUMMYFUNCTION("""COMPUTED_VALUE"""),"LifeSci Capital, Ladenburg Thalmann
")</f>
        <v>LifeSci Capital, Ladenburg Thalmann
</v>
      </c>
      <c r="S557" s="64">
        <f>IFERROR(__xludf.DUMMYFUNCTION("""COMPUTED_VALUE"""),44477.0)</f>
        <v>44477</v>
      </c>
      <c r="T557" s="70">
        <f>IFERROR(__xludf.DUMMYFUNCTION("""COMPUTED_VALUE"""),0.5041095890410959)</f>
        <v>0.504109589</v>
      </c>
      <c r="U557" s="71" t="str">
        <f>IFERROR(__xludf.DUMMYFUNCTION("""COMPUTED_VALUE"""),"https://www.sec.gov/cgi-bin/browse-edgar?CIK=1810560")</f>
        <v>https://www.sec.gov/cgi-bin/browse-edgar?CIK=1810560</v>
      </c>
      <c r="V557" s="72" t="str">
        <f>IFERROR(__xludf.DUMMYFUNCTION("""COMPUTED_VALUE"""),"            ")</f>
        <v>            </v>
      </c>
      <c r="W557" s="73"/>
      <c r="X557" s="74"/>
      <c r="Y557" s="75"/>
      <c r="Z557" s="60"/>
      <c r="AA557" s="60"/>
      <c r="AB557" s="60"/>
      <c r="AC557" s="60"/>
      <c r="AD557" s="73"/>
      <c r="AE557" s="73"/>
      <c r="AF557" s="76"/>
      <c r="AG557" s="60" t="str">
        <f>IFERROR(__xludf.DUMMYFUNCTION("""COMPUTED_VALUE"""),"")</f>
        <v/>
      </c>
    </row>
    <row r="558">
      <c r="A558" s="88" t="str">
        <f>IFERROR(__xludf.DUMMYFUNCTION("""COMPUTED_VALUE"""),"PANA")</f>
        <v>PANA</v>
      </c>
      <c r="B558" s="55" t="str">
        <f>IFERROR(__xludf.DUMMYFUNCTION("""COMPUTED_VALUE"""),"Panacea Acquisition Corp. II")</f>
        <v>Panacea Acquisition Corp. II</v>
      </c>
      <c r="C558" s="56" t="str">
        <f>IFERROR(__xludf.DUMMYFUNCTION("""COMPUTED_VALUE"""),"Searching")</f>
        <v>Searching</v>
      </c>
      <c r="D558" s="77" t="str">
        <f>IFERROR(__xludf.DUMMYFUNCTION("""COMPUTED_VALUE"""),"Biotech, Healthcare")</f>
        <v>Biotech, Healthcare</v>
      </c>
      <c r="E558" s="58"/>
      <c r="F558" s="59"/>
      <c r="G558" s="60">
        <f>IFERROR(__xludf.DUMMYFUNCTION("""COMPUTED_VALUE"""),1.5E8)</f>
        <v>150000000</v>
      </c>
      <c r="H558" s="60">
        <f>IFERROR(__xludf.DUMMYFUNCTION("""COMPUTED_VALUE"""),1.55E8)</f>
        <v>155000000</v>
      </c>
      <c r="I558" s="66">
        <f>IFERROR(__xludf.DUMMYFUNCTION("""COMPUTED_VALUE"""),10.0)</f>
        <v>10</v>
      </c>
      <c r="J558" s="62">
        <f>IFERROR(__xludf.DUMMYFUNCTION("""COMPUTED_VALUE"""),-0.002)</f>
        <v>-0.002</v>
      </c>
      <c r="K558" s="59" t="str">
        <f>IFERROR(__xludf.DUMMYFUNCTION("""COMPUTED_VALUE""")," ")</f>
        <v> </v>
      </c>
      <c r="L558" s="87" t="str">
        <f>IFERROR(__xludf.DUMMYFUNCTION("""COMPUTED_VALUE""")," ")</f>
        <v> </v>
      </c>
      <c r="M558" s="64" t="str">
        <f>IFERROR(__xludf.DUMMYFUNCTION("""COMPUTED_VALUE"""),"U: [No Units]; W: [No Warrants]")</f>
        <v>U: [No Units]; W: [No Warrants]</v>
      </c>
      <c r="N558" s="65" t="str">
        <f>IFERROR(__xludf.DUMMYFUNCTION("""COMPUTED_VALUE"""),"")</f>
        <v/>
      </c>
      <c r="O558" s="66">
        <f>IFERROR(__xludf.DUMMYFUNCTION("""COMPUTED_VALUE"""),0.0)</f>
        <v>0</v>
      </c>
      <c r="P558" s="67">
        <f>IFERROR(__xludf.DUMMYFUNCTION("""COMPUTED_VALUE"""),44293.0)</f>
        <v>44293</v>
      </c>
      <c r="Q558" s="68">
        <f>IFERROR(__xludf.DUMMYFUNCTION("""COMPUTED_VALUE"""),150.0)</f>
        <v>150</v>
      </c>
      <c r="R558" s="69" t="str">
        <f>IFERROR(__xludf.DUMMYFUNCTION("""COMPUTED_VALUE"""),"Cowen ")</f>
        <v>Cowen </v>
      </c>
      <c r="S558" s="64">
        <f>IFERROR(__xludf.DUMMYFUNCTION("""COMPUTED_VALUE"""),45023.0)</f>
        <v>45023</v>
      </c>
      <c r="T558" s="70">
        <f>IFERROR(__xludf.DUMMYFUNCTION("""COMPUTED_VALUE"""),0.00410958904109589)</f>
        <v>0.004109589041</v>
      </c>
      <c r="U558" s="71" t="str">
        <f>IFERROR(__xludf.DUMMYFUNCTION("""COMPUTED_VALUE"""),"https://www.sec.gov/cgi-bin/browse-edgar?CIK=1828989")</f>
        <v>https://www.sec.gov/cgi-bin/browse-edgar?CIK=1828989</v>
      </c>
      <c r="V558" s="72" t="str">
        <f>IFERROR(__xludf.DUMMYFUNCTION("""COMPUTED_VALUE""")," Trading Below $10 (Common) Recent IPO          Recent Split")</f>
        <v> Trading Below $10 (Common) Recent IPO          Recent Split</v>
      </c>
      <c r="W558" s="73"/>
      <c r="X558" s="74"/>
      <c r="Y558" s="75"/>
      <c r="Z558" s="60"/>
      <c r="AA558" s="60"/>
      <c r="AB558" s="60"/>
      <c r="AC558" s="60"/>
      <c r="AD558" s="73"/>
      <c r="AE558" s="73"/>
      <c r="AF558" s="76"/>
      <c r="AG558" s="60"/>
    </row>
    <row r="559">
      <c r="A559" s="54" t="str">
        <f>IFERROR(__xludf.DUMMYFUNCTION("""COMPUTED_VALUE"""),"PAQC")</f>
        <v>PAQC</v>
      </c>
      <c r="B559" s="55" t="str">
        <f>IFERROR(__xludf.DUMMYFUNCTION("""COMPUTED_VALUE"""),"Provident Acquisition Corp. ")</f>
        <v>Provident Acquisition Corp. </v>
      </c>
      <c r="C559" s="56" t="str">
        <f>IFERROR(__xludf.DUMMYFUNCTION("""COMPUTED_VALUE"""),"Searching")</f>
        <v>Searching</v>
      </c>
      <c r="D559" s="57" t="str">
        <f>IFERROR(__xludf.DUMMYFUNCTION("""COMPUTED_VALUE"""),"Tech, Southeast Asia")</f>
        <v>Tech, Southeast Asia</v>
      </c>
      <c r="E559" s="58"/>
      <c r="F559" s="59" t="str">
        <f>IFERROR(__xludf.DUMMYFUNCTION("""COMPUTED_VALUE"""),"Winato Kartono (Founder, Provident Group), Andre Hoffman (Exec Vice Chairman, L'Occitane Group), Sidney Huang (Fmr CFO, JD.com), Roy Kuan (Fmr MP, CVC Capital Partners)")</f>
        <v>Winato Kartono (Founder, Provident Group), Andre Hoffman (Exec Vice Chairman, L'Occitane Group), Sidney Huang (Fmr CFO, JD.com), Roy Kuan (Fmr MP, CVC Capital Partners)</v>
      </c>
      <c r="G559" s="60">
        <f>IFERROR(__xludf.DUMMYFUNCTION("""COMPUTED_VALUE"""),2.3E8)</f>
        <v>230000000</v>
      </c>
      <c r="H559" s="60">
        <f>IFERROR(__xludf.DUMMYFUNCTION("""COMPUTED_VALUE"""),2.2885E8)</f>
        <v>228850000</v>
      </c>
      <c r="I559" s="66">
        <f>IFERROR(__xludf.DUMMYFUNCTION("""COMPUTED_VALUE"""),9.95)</f>
        <v>9.95</v>
      </c>
      <c r="J559" s="62">
        <f>IFERROR(__xludf.DUMMYFUNCTION("""COMPUTED_VALUE"""),0.00913)</f>
        <v>0.00913</v>
      </c>
      <c r="K559" s="59">
        <f>IFERROR(__xludf.DUMMYFUNCTION("""COMPUTED_VALUE"""),10.37)</f>
        <v>10.37</v>
      </c>
      <c r="L559" s="87">
        <f>IFERROR(__xludf.DUMMYFUNCTION("""COMPUTED_VALUE"""),0.91)</f>
        <v>0.91</v>
      </c>
      <c r="M559" s="64" t="str">
        <f>IFERROR(__xludf.DUMMYFUNCTION("""COMPUTED_VALUE"""),"U: [1/2 W]; W: [1:1, $11.5]")</f>
        <v>U: [1/2 W]; W: [1:1, $11.5]</v>
      </c>
      <c r="N559" s="65">
        <f>IFERROR(__xludf.DUMMYFUNCTION("""COMPUTED_VALUE"""),44256.0)</f>
        <v>44256</v>
      </c>
      <c r="O559" s="66">
        <f>IFERROR(__xludf.DUMMYFUNCTION("""COMPUTED_VALUE"""),0.0)</f>
        <v>0</v>
      </c>
      <c r="P559" s="67">
        <f>IFERROR(__xludf.DUMMYFUNCTION("""COMPUTED_VALUE"""),44203.0)</f>
        <v>44203</v>
      </c>
      <c r="Q559" s="68">
        <f>IFERROR(__xludf.DUMMYFUNCTION("""COMPUTED_VALUE"""),230.0)</f>
        <v>230</v>
      </c>
      <c r="R559" s="85" t="str">
        <f>IFERROR(__xludf.DUMMYFUNCTION("""COMPUTED_VALUE"""),"Citigroup")</f>
        <v>Citigroup</v>
      </c>
      <c r="S559" s="64">
        <f>IFERROR(__xludf.DUMMYFUNCTION("""COMPUTED_VALUE"""),44933.0)</f>
        <v>44933</v>
      </c>
      <c r="T559" s="70">
        <f>IFERROR(__xludf.DUMMYFUNCTION("""COMPUTED_VALUE"""),0.1273972602739726)</f>
        <v>0.1273972603</v>
      </c>
      <c r="U559" s="71" t="str">
        <f>IFERROR(__xludf.DUMMYFUNCTION("""COMPUTED_VALUE"""),"https://www.sec.gov/cgi-bin/browse-edgar?CIK=1830531")</f>
        <v>https://www.sec.gov/cgi-bin/browse-edgar?CIK=1830531</v>
      </c>
      <c r="V559" s="72" t="str">
        <f>IFERROR(__xludf.DUMMYFUNCTION("""COMPUTED_VALUE""")," Trading Below $10 (Common)          Top Tier UW ")</f>
        <v> Trading Below $10 (Common)          Top Tier UW </v>
      </c>
      <c r="W559" s="73"/>
      <c r="X559" s="74"/>
      <c r="Y559" s="75"/>
      <c r="Z559" s="60"/>
      <c r="AA559" s="60"/>
      <c r="AB559" s="60"/>
      <c r="AC559" s="60"/>
      <c r="AD559" s="73"/>
      <c r="AE559" s="73"/>
      <c r="AF559" s="76"/>
      <c r="AG559" s="60" t="str">
        <f>IFERROR(__xludf.DUMMYFUNCTION("""COMPUTED_VALUE"""),"")</f>
        <v/>
      </c>
    </row>
    <row r="560">
      <c r="A560" s="88" t="str">
        <f>IFERROR(__xludf.DUMMYFUNCTION("""COMPUTED_VALUE"""),"PBRM")</f>
        <v>PBRM</v>
      </c>
      <c r="B560" s="55" t="str">
        <f>IFERROR(__xludf.DUMMYFUNCTION("""COMPUTED_VALUE"""),"Parabellum Acquisition Corp.")</f>
        <v>Parabellum Acquisition Corp.</v>
      </c>
      <c r="C560" s="56" t="str">
        <f>IFERROR(__xludf.DUMMYFUNCTION("""COMPUTED_VALUE"""),"Pre IPO")</f>
        <v>Pre IPO</v>
      </c>
      <c r="D560" s="57" t="str">
        <f>IFERROR(__xludf.DUMMYFUNCTION("""COMPUTED_VALUE"""),"Tech and IoT")</f>
        <v>Tech and IoT</v>
      </c>
      <c r="E560" s="58"/>
      <c r="F560" s="59" t="str">
        <f>IFERROR(__xludf.DUMMYFUNCTION("""COMPUTED_VALUE"""),"Narbeh Derhacobian (Former CEO of Adesto Technologies)")</f>
        <v>Narbeh Derhacobian (Former CEO of Adesto Technologies)</v>
      </c>
      <c r="G560" s="60">
        <f>IFERROR(__xludf.DUMMYFUNCTION("""COMPUTED_VALUE"""),1.25E8)</f>
        <v>125000000</v>
      </c>
      <c r="H560" s="60" t="str">
        <f>IFERROR(__xludf.DUMMYFUNCTION("""COMPUTED_VALUE""")," ")</f>
        <v> </v>
      </c>
      <c r="I560" s="66" t="str">
        <f>IFERROR(__xludf.DUMMYFUNCTION("""COMPUTED_VALUE""")," ")</f>
        <v> </v>
      </c>
      <c r="J560" s="62" t="str">
        <f>IFERROR(__xludf.DUMMYFUNCTION("""COMPUTED_VALUE""")," ")</f>
        <v> </v>
      </c>
      <c r="K560" s="59" t="str">
        <f>IFERROR(__xludf.DUMMYFUNCTION("""COMPUTED_VALUE""")," ")</f>
        <v> </v>
      </c>
      <c r="L560" s="87" t="str">
        <f>IFERROR(__xludf.DUMMYFUNCTION("""COMPUTED_VALUE""")," ")</f>
        <v> </v>
      </c>
      <c r="M560" s="64" t="str">
        <f>IFERROR(__xludf.DUMMYFUNCTION("""COMPUTED_VALUE"""),"U: [1/2 W]; W: [1:1, $11.5]")</f>
        <v>U: [1/2 W]; W: [1:1, $11.5]</v>
      </c>
      <c r="N560" s="65" t="str">
        <f>IFERROR(__xludf.DUMMYFUNCTION("""COMPUTED_VALUE"""),"")</f>
        <v/>
      </c>
      <c r="O560" s="66">
        <f>IFERROR(__xludf.DUMMYFUNCTION("""COMPUTED_VALUE"""),0.0)</f>
        <v>0</v>
      </c>
      <c r="P560" s="67"/>
      <c r="Q560" s="68">
        <f>IFERROR(__xludf.DUMMYFUNCTION("""COMPUTED_VALUE"""),125.0)</f>
        <v>125</v>
      </c>
      <c r="R560" s="69" t="str">
        <f>IFERROR(__xludf.DUMMYFUNCTION("""COMPUTED_VALUE"""),"B. Riley Securities")</f>
        <v>B. Riley Securities</v>
      </c>
      <c r="S560" s="64">
        <f>IFERROR(__xludf.DUMMYFUNCTION("""COMPUTED_VALUE"""),45086.0)</f>
        <v>45086</v>
      </c>
      <c r="T560" s="70" t="str">
        <f>IFERROR(__xludf.DUMMYFUNCTION("""COMPUTED_VALUE"""),"")</f>
        <v/>
      </c>
      <c r="U560" s="71" t="str">
        <f>IFERROR(__xludf.DUMMYFUNCTION("""COMPUTED_VALUE"""),"https://www.sec.gov/cgi-bin/browse-edgar?CIK=1848165")</f>
        <v>https://www.sec.gov/cgi-bin/browse-edgar?CIK=1848165</v>
      </c>
      <c r="V560" s="72" t="str">
        <f>IFERROR(__xludf.DUMMYFUNCTION("""COMPUTED_VALUE"""),"            ")</f>
        <v>            </v>
      </c>
      <c r="W560" s="73"/>
      <c r="X560" s="74"/>
      <c r="Y560" s="75"/>
      <c r="Z560" s="60"/>
      <c r="AA560" s="60"/>
      <c r="AB560" s="60"/>
      <c r="AC560" s="60"/>
      <c r="AD560" s="73"/>
      <c r="AE560" s="73"/>
      <c r="AF560" s="76"/>
      <c r="AG560" s="60"/>
    </row>
    <row r="561">
      <c r="A561" s="88" t="str">
        <f>IFERROR(__xludf.DUMMYFUNCTION("""COMPUTED_VALUE"""),"PCCT")</f>
        <v>PCCT</v>
      </c>
      <c r="B561" s="55" t="str">
        <f>IFERROR(__xludf.DUMMYFUNCTION("""COMPUTED_VALUE"""),"Perception Capital Corp. II")</f>
        <v>Perception Capital Corp. II</v>
      </c>
      <c r="C561" s="56" t="str">
        <f>IFERROR(__xludf.DUMMYFUNCTION("""COMPUTED_VALUE"""),"Pre IPO")</f>
        <v>Pre IPO</v>
      </c>
      <c r="D561" s="77" t="str">
        <f>IFERROR(__xludf.DUMMYFUNCTION("""COMPUTED_VALUE"""),"Industrial Tech, Sustainability")</f>
        <v>Industrial Tech, Sustainability</v>
      </c>
      <c r="E561" s="58"/>
      <c r="F561" s="59" t="str">
        <f>IFERROR(__xludf.DUMMYFUNCTION("""COMPUTED_VALUE"""),"Omer Keilaf (Co-founder &amp; CEO of Innoviz Technologies)")</f>
        <v>Omer Keilaf (Co-founder &amp; CEO of Innoviz Technologies)</v>
      </c>
      <c r="G561" s="60">
        <f>IFERROR(__xludf.DUMMYFUNCTION("""COMPUTED_VALUE"""),2.5E8)</f>
        <v>250000000</v>
      </c>
      <c r="H561" s="60" t="str">
        <f>IFERROR(__xludf.DUMMYFUNCTION("""COMPUTED_VALUE""")," ")</f>
        <v> </v>
      </c>
      <c r="I561" s="66" t="str">
        <f>IFERROR(__xludf.DUMMYFUNCTION("""COMPUTED_VALUE""")," ")</f>
        <v> </v>
      </c>
      <c r="J561" s="62" t="str">
        <f>IFERROR(__xludf.DUMMYFUNCTION("""COMPUTED_VALUE""")," ")</f>
        <v> </v>
      </c>
      <c r="K561" s="59" t="str">
        <f>IFERROR(__xludf.DUMMYFUNCTION("""COMPUTED_VALUE""")," ")</f>
        <v> </v>
      </c>
      <c r="L561" s="87" t="str">
        <f>IFERROR(__xludf.DUMMYFUNCTION("""COMPUTED_VALUE""")," ")</f>
        <v> </v>
      </c>
      <c r="M561" s="64" t="str">
        <f>IFERROR(__xludf.DUMMYFUNCTION("""COMPUTED_VALUE"""),"U: [1/3 W]; W: [1:1, $11.5]")</f>
        <v>U: [1/3 W]; W: [1:1, $11.5]</v>
      </c>
      <c r="N561" s="65" t="str">
        <f>IFERROR(__xludf.DUMMYFUNCTION("""COMPUTED_VALUE"""),"")</f>
        <v/>
      </c>
      <c r="O561" s="66">
        <f>IFERROR(__xludf.DUMMYFUNCTION("""COMPUTED_VALUE"""),0.0)</f>
        <v>0</v>
      </c>
      <c r="P561" s="67"/>
      <c r="Q561" s="68">
        <f>IFERROR(__xludf.DUMMYFUNCTION("""COMPUTED_VALUE"""),250.0)</f>
        <v>250</v>
      </c>
      <c r="R561" s="69" t="str">
        <f>IFERROR(__xludf.DUMMYFUNCTION("""COMPUTED_VALUE"""),"Jefferies, Moelis &amp; Company, Nomura")</f>
        <v>Jefferies, Moelis &amp; Company, Nomura</v>
      </c>
      <c r="S561" s="64">
        <f>IFERROR(__xludf.DUMMYFUNCTION("""COMPUTED_VALUE"""),45086.0)</f>
        <v>45086</v>
      </c>
      <c r="T561" s="70" t="str">
        <f>IFERROR(__xludf.DUMMYFUNCTION("""COMPUTED_VALUE"""),"")</f>
        <v/>
      </c>
      <c r="U561" s="71" t="str">
        <f>IFERROR(__xludf.DUMMYFUNCTION("""COMPUTED_VALUE"""),"https://www.sec.gov/cgi-bin/browse-edgar?CIK=1844149")</f>
        <v>https://www.sec.gov/cgi-bin/browse-edgar?CIK=1844149</v>
      </c>
      <c r="V561" s="72" t="str">
        <f>IFERROR(__xludf.DUMMYFUNCTION("""COMPUTED_VALUE"""),"        New Registration    ")</f>
        <v>        New Registration    </v>
      </c>
      <c r="W561" s="73"/>
      <c r="X561" s="74"/>
      <c r="Y561" s="75"/>
      <c r="Z561" s="60"/>
      <c r="AA561" s="60"/>
      <c r="AB561" s="60"/>
      <c r="AC561" s="60"/>
      <c r="AD561" s="73"/>
      <c r="AE561" s="73"/>
      <c r="AF561" s="76"/>
      <c r="AG561" s="60"/>
    </row>
    <row r="562">
      <c r="A562" s="54" t="str">
        <f>IFERROR(__xludf.DUMMYFUNCTION("""COMPUTED_VALUE"""),"PCPC")</f>
        <v>PCPC</v>
      </c>
      <c r="B562" s="55" t="str">
        <f>IFERROR(__xludf.DUMMYFUNCTION("""COMPUTED_VALUE"""),"Periphas Capital Partnering Corp")</f>
        <v>Periphas Capital Partnering Corp</v>
      </c>
      <c r="C562" s="56" t="str">
        <f>IFERROR(__xludf.DUMMYFUNCTION("""COMPUTED_VALUE"""),"Searching")</f>
        <v>Searching</v>
      </c>
      <c r="D562" s="57"/>
      <c r="E562" s="58"/>
      <c r="F562" s="59" t="str">
        <f>IFERROR(__xludf.DUMMYFUNCTION("""COMPUTED_VALUE"""),"Sanjeev Mehra (Co-founder/MP, Periphas Capital)")</f>
        <v>Sanjeev Mehra (Co-founder/MP, Periphas Capital)</v>
      </c>
      <c r="G562" s="60">
        <f>IFERROR(__xludf.DUMMYFUNCTION("""COMPUTED_VALUE"""),4.14001166E8)</f>
        <v>414001166</v>
      </c>
      <c r="H562" s="60">
        <f>IFERROR(__xludf.DUMMYFUNCTION("""COMPUTED_VALUE"""),4.1341776E8)</f>
        <v>413417760</v>
      </c>
      <c r="I562" s="66">
        <f>IFERROR(__xludf.DUMMYFUNCTION("""COMPUTED_VALUE"""),24.6)</f>
        <v>24.6</v>
      </c>
      <c r="J562" s="62">
        <f>IFERROR(__xludf.DUMMYFUNCTION("""COMPUTED_VALUE"""),0.01586)</f>
        <v>0.01586</v>
      </c>
      <c r="K562" s="59">
        <f>IFERROR(__xludf.DUMMYFUNCTION("""COMPUTED_VALUE"""),24.89)</f>
        <v>24.89</v>
      </c>
      <c r="L562" s="87">
        <f>IFERROR(__xludf.DUMMYFUNCTION("""COMPUTED_VALUE"""),1.8)</f>
        <v>1.8</v>
      </c>
      <c r="M562" s="64" t="str">
        <f>IFERROR(__xludf.DUMMYFUNCTION("""COMPUTED_VALUE"""),"U: [1/4 W]; W: [1:1, $28.75]")</f>
        <v>U: [1/4 W]; W: [1:1, $28.75]</v>
      </c>
      <c r="N562" s="65" t="str">
        <f>IFERROR(__xludf.DUMMYFUNCTION("""COMPUTED_VALUE"""),"")</f>
        <v/>
      </c>
      <c r="O562" s="66">
        <f>IFERROR(__xludf.DUMMYFUNCTION("""COMPUTED_VALUE"""),0.0)</f>
        <v>0</v>
      </c>
      <c r="P562" s="67">
        <f>IFERROR(__xludf.DUMMYFUNCTION("""COMPUTED_VALUE"""),44175.0)</f>
        <v>44175</v>
      </c>
      <c r="Q562" s="68">
        <f>IFERROR(__xludf.DUMMYFUNCTION("""COMPUTED_VALUE"""),414.0)</f>
        <v>414</v>
      </c>
      <c r="R562" s="69" t="str">
        <f>IFERROR(__xludf.DUMMYFUNCTION("""COMPUTED_VALUE"""),"Evercore ISI")</f>
        <v>Evercore ISI</v>
      </c>
      <c r="S562" s="64">
        <f>IFERROR(__xludf.DUMMYFUNCTION("""COMPUTED_VALUE"""),44905.0)</f>
        <v>44905</v>
      </c>
      <c r="T562" s="70">
        <f>IFERROR(__xludf.DUMMYFUNCTION("""COMPUTED_VALUE"""),0.16575342465753426)</f>
        <v>0.1657534247</v>
      </c>
      <c r="U562" s="71" t="str">
        <f>IFERROR(__xludf.DUMMYFUNCTION("""COMPUTED_VALUE"""),"https://www.sec.gov/cgi-bin/browse-edgar?CIK=1824993")</f>
        <v>https://www.sec.gov/cgi-bin/browse-edgar?CIK=1824993</v>
      </c>
      <c r="V562" s="72" t="str">
        <f>IFERROR(__xludf.DUMMYFUNCTION("""COMPUTED_VALUE"""),"            ")</f>
        <v>            </v>
      </c>
      <c r="W562" s="73"/>
      <c r="X562" s="74"/>
      <c r="Y562" s="75"/>
      <c r="Z562" s="60"/>
      <c r="AA562" s="60"/>
      <c r="AB562" s="60"/>
      <c r="AC562" s="60"/>
      <c r="AD562" s="73"/>
      <c r="AE562" s="73"/>
      <c r="AF562" s="76"/>
      <c r="AG562" s="60" t="str">
        <f>IFERROR(__xludf.DUMMYFUNCTION("""COMPUTED_VALUE"""),"")</f>
        <v/>
      </c>
    </row>
    <row r="563">
      <c r="A563" s="54" t="str">
        <f>IFERROR(__xludf.DUMMYFUNCTION("""COMPUTED_VALUE"""),"PDAC")</f>
        <v>PDAC</v>
      </c>
      <c r="B563" s="55" t="str">
        <f>IFERROR(__xludf.DUMMYFUNCTION("""COMPUTED_VALUE"""),"Peridot Acquisition Corp.")</f>
        <v>Peridot Acquisition Corp.</v>
      </c>
      <c r="C563" s="56" t="str">
        <f>IFERROR(__xludf.DUMMYFUNCTION("""COMPUTED_VALUE"""),"Definitive Agreement")</f>
        <v>Definitive Agreement</v>
      </c>
      <c r="D563" s="57" t="str">
        <f>IFERROR(__xludf.DUMMYFUNCTION("""COMPUTED_VALUE"""),"Environmental Sustainability, Industrial (Greenhouse gas reduction)")</f>
        <v>Environmental Sustainability, Industrial (Greenhouse gas reduction)</v>
      </c>
      <c r="E563" s="58" t="str">
        <f>IFERROR(__xludf.DUMMYFUNCTION("""COMPUTED_VALUE"""),"Li-Cycle [DA: 02/16/21]")</f>
        <v>Li-Cycle [DA: 02/16/21]</v>
      </c>
      <c r="F563" s="59" t="str">
        <f>IFERROR(__xludf.DUMMYFUNCTION("""COMPUTED_VALUE"""),"Alan Levande (Former Co-CEO of Covey Park Energy), Scott Prochazka (Former CEO of CenterPoint Energy), Jonathan Silver (Director, Plug Power, National Grid, Former Exec. Director of Loan Programs under Pres. Obama)")</f>
        <v>Alan Levande (Former Co-CEO of Covey Park Energy), Scott Prochazka (Former CEO of CenterPoint Energy), Jonathan Silver (Director, Plug Power, National Grid, Former Exec. Director of Loan Programs under Pres. Obama)</v>
      </c>
      <c r="G563" s="60">
        <f>IFERROR(__xludf.DUMMYFUNCTION("""COMPUTED_VALUE"""),3.00074392E8)</f>
        <v>300074392</v>
      </c>
      <c r="H563" s="60">
        <f>IFERROR(__xludf.DUMMYFUNCTION("""COMPUTED_VALUE"""),3.267E8)</f>
        <v>326700000</v>
      </c>
      <c r="I563" s="66">
        <f>IFERROR(__xludf.DUMMYFUNCTION("""COMPUTED_VALUE"""),10.89)</f>
        <v>10.89</v>
      </c>
      <c r="J563" s="62">
        <f>IFERROR(__xludf.DUMMYFUNCTION("""COMPUTED_VALUE"""),0.01681)</f>
        <v>0.01681</v>
      </c>
      <c r="K563" s="59">
        <f>IFERROR(__xludf.DUMMYFUNCTION("""COMPUTED_VALUE"""),11.85)</f>
        <v>11.85</v>
      </c>
      <c r="L563" s="87">
        <f>IFERROR(__xludf.DUMMYFUNCTION("""COMPUTED_VALUE"""),1.94)</f>
        <v>1.94</v>
      </c>
      <c r="M563" s="64" t="str">
        <f>IFERROR(__xludf.DUMMYFUNCTION("""COMPUTED_VALUE"""),"U: [1/2 W]; W: [1:1, $11.5]")</f>
        <v>U: [1/2 W]; W: [1:1, $11.5]</v>
      </c>
      <c r="N563" s="65" t="str">
        <f>IFERROR(__xludf.DUMMYFUNCTION("""COMPUTED_VALUE"""),"")</f>
        <v/>
      </c>
      <c r="O563" s="66">
        <f>IFERROR(__xludf.DUMMYFUNCTION("""COMPUTED_VALUE"""),0.0)</f>
        <v>0</v>
      </c>
      <c r="P563" s="67">
        <f>IFERROR(__xludf.DUMMYFUNCTION("""COMPUTED_VALUE"""),44097.0)</f>
        <v>44097</v>
      </c>
      <c r="Q563" s="68">
        <f>IFERROR(__xludf.DUMMYFUNCTION("""COMPUTED_VALUE"""),300.0)</f>
        <v>300</v>
      </c>
      <c r="R563" s="69" t="str">
        <f>IFERROR(__xludf.DUMMYFUNCTION("""COMPUTED_VALUE"""),"UBS, Barclays")</f>
        <v>UBS, Barclays</v>
      </c>
      <c r="S563" s="64">
        <f>IFERROR(__xludf.DUMMYFUNCTION("""COMPUTED_VALUE"""),44827.0)</f>
        <v>44827</v>
      </c>
      <c r="T563" s="70">
        <f>IFERROR(__xludf.DUMMYFUNCTION("""COMPUTED_VALUE"""),0.2726027397260274)</f>
        <v>0.2726027397</v>
      </c>
      <c r="U563" s="71" t="str">
        <f>IFERROR(__xludf.DUMMYFUNCTION("""COMPUTED_VALUE"""),"https://www.sec.gov/cgi-bin/browse-edgar?CIK=1821317")</f>
        <v>https://www.sec.gov/cgi-bin/browse-edgar?CIK=1821317</v>
      </c>
      <c r="V563" s="72" t="str">
        <f>IFERROR(__xludf.DUMMYFUNCTION("""COMPUTED_VALUE"""),"Sustainability     Optionable       ")</f>
        <v>Sustainability     Optionable       </v>
      </c>
      <c r="W563" s="73">
        <f>IFERROR(__xludf.DUMMYFUNCTION("""COMPUTED_VALUE"""),44243.0)</f>
        <v>44243</v>
      </c>
      <c r="X563" s="79">
        <f>IFERROR(__xludf.DUMMYFUNCTION("""COMPUTED_VALUE"""),4.866666666666666)</f>
        <v>4.866666667</v>
      </c>
      <c r="Y563" s="80" t="str">
        <f>IFERROR(__xludf.DUMMYFUNCTION("""COMPUTED_VALUE"""),"https://www.businesswire.com/news/home/20210216005429/en/Li-Cycle-North-America%E2%80%99s-Largest-Lithium-Ion-Battery-Resource-Recycling-Company-to-List-on-NYSE-through-Transaction-with-Peridot-Acquisition-Corp.")</f>
        <v>https://www.businesswire.com/news/home/20210216005429/en/Li-Cycle-North-America%E2%80%99s-Largest-Lithium-Ion-Battery-Resource-Recycling-Company-to-List-on-NYSE-through-Transaction-with-Peridot-Acquisition-Corp.</v>
      </c>
      <c r="Z563" s="81" t="str">
        <f>IFERROR(__xludf.DUMMYFUNCTION("""COMPUTED_VALUE"""),"https://www.sec.gov/Archives/edgar/data/1821317/000119312521043314/d132687dex992.htm")</f>
        <v>https://www.sec.gov/Archives/edgar/data/1821317/000119312521043314/d132687dex992.htm</v>
      </c>
      <c r="AA563" s="60">
        <f>IFERROR(__xludf.DUMMYFUNCTION("""COMPUTED_VALUE"""),3.15E8)</f>
        <v>315000000</v>
      </c>
      <c r="AB563" s="60">
        <f>IFERROR(__xludf.DUMMYFUNCTION("""COMPUTED_VALUE"""),1.665E9)</f>
        <v>1665000000</v>
      </c>
      <c r="AC563" s="60">
        <f>IFERROR(__xludf.DUMMYFUNCTION("""COMPUTED_VALUE"""),1.099E9)</f>
        <v>1099000000</v>
      </c>
      <c r="AD563" s="73"/>
      <c r="AE563" s="73"/>
      <c r="AF563" s="76">
        <f>IFERROR(__xludf.DUMMYFUNCTION("""COMPUTED_VALUE"""),1.665E8)</f>
        <v>166500000</v>
      </c>
      <c r="AG563" s="60">
        <f>IFERROR(__xludf.DUMMYFUNCTION("""COMPUTED_VALUE"""),1.813185E9)</f>
        <v>1813185000</v>
      </c>
    </row>
    <row r="564">
      <c r="A564" s="54" t="str">
        <f>IFERROR(__xludf.DUMMYFUNCTION("""COMPUTED_VALUE"""),"PDOT")</f>
        <v>PDOT</v>
      </c>
      <c r="B564" s="55" t="str">
        <f>IFERROR(__xludf.DUMMYFUNCTION("""COMPUTED_VALUE"""),"Peridot Acquisition Corp. II")</f>
        <v>Peridot Acquisition Corp. II</v>
      </c>
      <c r="C564" s="56" t="str">
        <f>IFERROR(__xludf.DUMMYFUNCTION("""COMPUTED_VALUE"""),"Searching (Pre Unit Split)")</f>
        <v>Searching (Pre Unit Split)</v>
      </c>
      <c r="D564" s="57" t="str">
        <f>IFERROR(__xludf.DUMMYFUNCTION("""COMPUTED_VALUE"""),"Environmental Sustainability, Industrial (Greenhouse gas reduction)")</f>
        <v>Environmental Sustainability, Industrial (Greenhouse gas reduction)</v>
      </c>
      <c r="E564" s="58"/>
      <c r="F564" s="59" t="str">
        <f>IFERROR(__xludf.DUMMYFUNCTION("""COMPUTED_VALUE"""),"Alan Levande (Former Co-CEO of Covey Park Energy), Scott Prochazka (Former CEO of CenterPoint Energy)")</f>
        <v>Alan Levande (Former Co-CEO of Covey Park Energy), Scott Prochazka (Former CEO of CenterPoint Energy)</v>
      </c>
      <c r="G564" s="60">
        <f>IFERROR(__xludf.DUMMYFUNCTION("""COMPUTED_VALUE"""),4.0845476E8)</f>
        <v>408454760</v>
      </c>
      <c r="H564" s="60" t="str">
        <f>IFERROR(__xludf.DUMMYFUNCTION("""COMPUTED_VALUE""")," ")</f>
        <v> </v>
      </c>
      <c r="I564" s="66" t="str">
        <f>IFERROR(__xludf.DUMMYFUNCTION("""COMPUTED_VALUE""")," ")</f>
        <v> </v>
      </c>
      <c r="J564" s="62" t="str">
        <f>IFERROR(__xludf.DUMMYFUNCTION("""COMPUTED_VALUE""")," ")</f>
        <v> </v>
      </c>
      <c r="K564" s="59">
        <f>IFERROR(__xludf.DUMMYFUNCTION("""COMPUTED_VALUE"""),10.01)</f>
        <v>10.01</v>
      </c>
      <c r="L564" s="87" t="str">
        <f>IFERROR(__xludf.DUMMYFUNCTION("""COMPUTED_VALUE""")," ")</f>
        <v> </v>
      </c>
      <c r="M564" s="64" t="str">
        <f>IFERROR(__xludf.DUMMYFUNCTION("""COMPUTED_VALUE"""),"U: [1/5 W]; W: [1:1, $11.5]")</f>
        <v>U: [1/5 W]; W: [1:1, $11.5]</v>
      </c>
      <c r="N564" s="65">
        <f>IFERROR(__xludf.DUMMYFUNCTION("""COMPUTED_VALUE"""),44315.0)</f>
        <v>44315</v>
      </c>
      <c r="O564" s="66" t="str">
        <f>IFERROR(__xludf.DUMMYFUNCTION("""COMPUTED_VALUE"""),"")</f>
        <v/>
      </c>
      <c r="P564" s="67">
        <f>IFERROR(__xludf.DUMMYFUNCTION("""COMPUTED_VALUE"""),44263.0)</f>
        <v>44263</v>
      </c>
      <c r="Q564" s="68">
        <f>IFERROR(__xludf.DUMMYFUNCTION("""COMPUTED_VALUE"""),408.45476)</f>
        <v>408.45476</v>
      </c>
      <c r="R564" s="69" t="str">
        <f>IFERROR(__xludf.DUMMYFUNCTION("""COMPUTED_VALUE"""),"UBS, Barclays")</f>
        <v>UBS, Barclays</v>
      </c>
      <c r="S564" s="64">
        <f>IFERROR(__xludf.DUMMYFUNCTION("""COMPUTED_VALUE"""),44993.0)</f>
        <v>44993</v>
      </c>
      <c r="T564" s="70">
        <f>IFERROR(__xludf.DUMMYFUNCTION("""COMPUTED_VALUE"""),0.045205479452054796)</f>
        <v>0.04520547945</v>
      </c>
      <c r="U564" s="71" t="str">
        <f>IFERROR(__xludf.DUMMYFUNCTION("""COMPUTED_VALUE"""),"https://www.sec.gov/cgi-bin/browse-edgar?CIK=1841845")</f>
        <v>https://www.sec.gov/cgi-bin/browse-edgar?CIK=1841845</v>
      </c>
      <c r="V564" s="72" t="str">
        <f>IFERROR(__xludf.DUMMYFUNCTION("""COMPUTED_VALUE"""),"            ")</f>
        <v>            </v>
      </c>
      <c r="W564" s="73"/>
      <c r="X564" s="74"/>
      <c r="Y564" s="75"/>
      <c r="Z564" s="60"/>
      <c r="AA564" s="60"/>
      <c r="AB564" s="60"/>
      <c r="AC564" s="60"/>
      <c r="AD564" s="73"/>
      <c r="AE564" s="73"/>
      <c r="AF564" s="76"/>
      <c r="AG564" s="60" t="str">
        <f>IFERROR(__xludf.DUMMYFUNCTION("""COMPUTED_VALUE"""),"")</f>
        <v/>
      </c>
    </row>
    <row r="565">
      <c r="A565" s="88" t="str">
        <f>IFERROR(__xludf.DUMMYFUNCTION("""COMPUTED_VALUE"""),"PEGR")</f>
        <v>PEGR</v>
      </c>
      <c r="B565" s="55" t="str">
        <f>IFERROR(__xludf.DUMMYFUNCTION("""COMPUTED_VALUE"""),"Project Energy Reimagined Acquisition Corp.")</f>
        <v>Project Energy Reimagined Acquisition Corp.</v>
      </c>
      <c r="C565" s="56" t="str">
        <f>IFERROR(__xludf.DUMMYFUNCTION("""COMPUTED_VALUE"""),"Pre IPO")</f>
        <v>Pre IPO</v>
      </c>
      <c r="D565" s="77" t="str">
        <f>IFERROR(__xludf.DUMMYFUNCTION("""COMPUTED_VALUE"""),"Electric Grid 2.0 (Energy Transition)")</f>
        <v>Electric Grid 2.0 (Energy Transition)</v>
      </c>
      <c r="E565" s="58"/>
      <c r="F565" s="59" t="str">
        <f>IFERROR(__xludf.DUMMYFUNCTION("""COMPUTED_VALUE"""),"Srinath Narayanan (Director of Hyperloop), Eric Spiegel (Former CEO of Siemens USA)")</f>
        <v>Srinath Narayanan (Director of Hyperloop), Eric Spiegel (Former CEO of Siemens USA)</v>
      </c>
      <c r="G565" s="60">
        <f>IFERROR(__xludf.DUMMYFUNCTION("""COMPUTED_VALUE"""),3.0E8)</f>
        <v>300000000</v>
      </c>
      <c r="H565" s="60" t="str">
        <f>IFERROR(__xludf.DUMMYFUNCTION("""COMPUTED_VALUE""")," ")</f>
        <v> </v>
      </c>
      <c r="I565" s="66" t="str">
        <f>IFERROR(__xludf.DUMMYFUNCTION("""COMPUTED_VALUE""")," ")</f>
        <v> </v>
      </c>
      <c r="J565" s="62" t="str">
        <f>IFERROR(__xludf.DUMMYFUNCTION("""COMPUTED_VALUE""")," ")</f>
        <v> </v>
      </c>
      <c r="K565" s="59" t="str">
        <f>IFERROR(__xludf.DUMMYFUNCTION("""COMPUTED_VALUE""")," ")</f>
        <v> </v>
      </c>
      <c r="L565" s="87" t="str">
        <f>IFERROR(__xludf.DUMMYFUNCTION("""COMPUTED_VALUE""")," ")</f>
        <v> </v>
      </c>
      <c r="M565" s="64" t="str">
        <f>IFERROR(__xludf.DUMMYFUNCTION("""COMPUTED_VALUE"""),"U: [1/3 W]; W: [1:1, $11.5]")</f>
        <v>U: [1/3 W]; W: [1:1, $11.5]</v>
      </c>
      <c r="N565" s="65" t="str">
        <f>IFERROR(__xludf.DUMMYFUNCTION("""COMPUTED_VALUE"""),"")</f>
        <v/>
      </c>
      <c r="O565" s="66">
        <f>IFERROR(__xludf.DUMMYFUNCTION("""COMPUTED_VALUE"""),0.0)</f>
        <v>0</v>
      </c>
      <c r="P565" s="67"/>
      <c r="Q565" s="68">
        <f>IFERROR(__xludf.DUMMYFUNCTION("""COMPUTED_VALUE"""),300.0)</f>
        <v>300</v>
      </c>
      <c r="R565" s="69" t="str">
        <f>IFERROR(__xludf.DUMMYFUNCTION("""COMPUTED_VALUE"""),"J.P. Morgan, BofA Securities")</f>
        <v>J.P. Morgan, BofA Securities</v>
      </c>
      <c r="S565" s="64">
        <f>IFERROR(__xludf.DUMMYFUNCTION("""COMPUTED_VALUE"""),45086.0)</f>
        <v>45086</v>
      </c>
      <c r="T565" s="70" t="str">
        <f>IFERROR(__xludf.DUMMYFUNCTION("""COMPUTED_VALUE"""),"")</f>
        <v/>
      </c>
      <c r="U565" s="71" t="str">
        <f>IFERROR(__xludf.DUMMYFUNCTION("""COMPUTED_VALUE"""),"https://www.sec.gov/cgi-bin/browse-edgar?CIK=1847241")</f>
        <v>https://www.sec.gov/cgi-bin/browse-edgar?CIK=1847241</v>
      </c>
      <c r="V565" s="72" t="str">
        <f>IFERROR(__xludf.DUMMYFUNCTION("""COMPUTED_VALUE"""),"           Top Tier UW ")</f>
        <v>           Top Tier UW </v>
      </c>
      <c r="W565" s="73"/>
      <c r="X565" s="74"/>
      <c r="Y565" s="75"/>
      <c r="Z565" s="60"/>
      <c r="AA565" s="60"/>
      <c r="AB565" s="60"/>
      <c r="AC565" s="60"/>
      <c r="AD565" s="73"/>
      <c r="AE565" s="73"/>
      <c r="AF565" s="76"/>
      <c r="AG565" s="60"/>
    </row>
    <row r="566">
      <c r="A566" s="54" t="str">
        <f>IFERROR(__xludf.DUMMYFUNCTION("""COMPUTED_VALUE"""),"PFDR")</f>
        <v>PFDR</v>
      </c>
      <c r="B566" s="55" t="str">
        <f>IFERROR(__xludf.DUMMYFUNCTION("""COMPUTED_VALUE"""),"Pathfinder Acquisition Corporation
")</f>
        <v>Pathfinder Acquisition Corporation
</v>
      </c>
      <c r="C566" s="56" t="str">
        <f>IFERROR(__xludf.DUMMYFUNCTION("""COMPUTED_VALUE"""),"Searching (Pre Unit Split)")</f>
        <v>Searching (Pre Unit Split)</v>
      </c>
      <c r="D566" s="57" t="str">
        <f>IFERROR(__xludf.DUMMYFUNCTION("""COMPUTED_VALUE"""),"Tech")</f>
        <v>Tech</v>
      </c>
      <c r="E566" s="58"/>
      <c r="F566" s="59" t="str">
        <f>IFERROR(__xludf.DUMMYFUNCTION("""COMPUTED_VALUE"""),"Rich Lawson (Co-founder/CEO, HGGC), Steve Young (Fmr NFL QB, SF 49ers; Co-founder/Pres, HGGC), Hans Swildens (Founder/CEO, Industry Ventures)")</f>
        <v>Rich Lawson (Co-founder/CEO, HGGC), Steve Young (Fmr NFL QB, SF 49ers; Co-founder/Pres, HGGC), Hans Swildens (Founder/CEO, Industry Ventures)</v>
      </c>
      <c r="G566" s="60">
        <f>IFERROR(__xludf.DUMMYFUNCTION("""COMPUTED_VALUE"""),3.25E8)</f>
        <v>325000000</v>
      </c>
      <c r="H566" s="60" t="str">
        <f>IFERROR(__xludf.DUMMYFUNCTION("""COMPUTED_VALUE""")," ")</f>
        <v> </v>
      </c>
      <c r="I566" s="66" t="str">
        <f>IFERROR(__xludf.DUMMYFUNCTION("""COMPUTED_VALUE""")," ")</f>
        <v> </v>
      </c>
      <c r="J566" s="62" t="str">
        <f>IFERROR(__xludf.DUMMYFUNCTION("""COMPUTED_VALUE""")," ")</f>
        <v> </v>
      </c>
      <c r="K566" s="59">
        <f>IFERROR(__xludf.DUMMYFUNCTION("""COMPUTED_VALUE"""),9.965)</f>
        <v>9.965</v>
      </c>
      <c r="L566" s="87" t="str">
        <f>IFERROR(__xludf.DUMMYFUNCTION("""COMPUTED_VALUE""")," ")</f>
        <v> </v>
      </c>
      <c r="M566" s="64" t="str">
        <f>IFERROR(__xludf.DUMMYFUNCTION("""COMPUTED_VALUE"""),"U: [1/5 W]; W: [1:1, $11.5]")</f>
        <v>U: [1/5 W]; W: [1:1, $11.5]</v>
      </c>
      <c r="N566" s="65">
        <f>IFERROR(__xludf.DUMMYFUNCTION("""COMPUTED_VALUE"""),44295.0)</f>
        <v>44295</v>
      </c>
      <c r="O566" s="66" t="str">
        <f>IFERROR(__xludf.DUMMYFUNCTION("""COMPUTED_VALUE"""),"")</f>
        <v/>
      </c>
      <c r="P566" s="67">
        <f>IFERROR(__xludf.DUMMYFUNCTION("""COMPUTED_VALUE"""),44243.0)</f>
        <v>44243</v>
      </c>
      <c r="Q566" s="68">
        <f>IFERROR(__xludf.DUMMYFUNCTION("""COMPUTED_VALUE"""),325.0)</f>
        <v>325</v>
      </c>
      <c r="R566" s="85" t="str">
        <f>IFERROR(__xludf.DUMMYFUNCTION("""COMPUTED_VALUE"""),"Deutsche Bank Securities, RBC Capital Markets, Stifel")</f>
        <v>Deutsche Bank Securities, RBC Capital Markets, Stifel</v>
      </c>
      <c r="S566" s="64">
        <f>IFERROR(__xludf.DUMMYFUNCTION("""COMPUTED_VALUE"""),44973.0)</f>
        <v>44973</v>
      </c>
      <c r="T566" s="70">
        <f>IFERROR(__xludf.DUMMYFUNCTION("""COMPUTED_VALUE"""),0.07260273972602739)</f>
        <v>0.07260273973</v>
      </c>
      <c r="U566" s="71" t="str">
        <f>IFERROR(__xludf.DUMMYFUNCTION("""COMPUTED_VALUE"""),"https://www.sec.gov/cgi-bin/browse-edgar?CIK=1839132")</f>
        <v>https://www.sec.gov/cgi-bin/browse-edgar?CIK=1839132</v>
      </c>
      <c r="V566" s="72" t="str">
        <f>IFERROR(__xludf.DUMMYFUNCTION("""COMPUTED_VALUE"""),"Venture Capital         Well-known Sponsor   ")</f>
        <v>Venture Capital         Well-known Sponsor   </v>
      </c>
      <c r="W566" s="73"/>
      <c r="X566" s="74"/>
      <c r="Y566" s="75"/>
      <c r="Z566" s="60"/>
      <c r="AA566" s="60"/>
      <c r="AB566" s="60"/>
      <c r="AC566" s="60"/>
      <c r="AD566" s="73"/>
      <c r="AE566" s="73"/>
      <c r="AF566" s="76"/>
      <c r="AG566" s="60" t="str">
        <f>IFERROR(__xludf.DUMMYFUNCTION("""COMPUTED_VALUE"""),"")</f>
        <v/>
      </c>
    </row>
    <row r="567">
      <c r="A567" s="54" t="str">
        <f>IFERROR(__xludf.DUMMYFUNCTION("""COMPUTED_VALUE"""),"PGRW")</f>
        <v>PGRW</v>
      </c>
      <c r="B567" s="55" t="str">
        <f>IFERROR(__xludf.DUMMYFUNCTION("""COMPUTED_VALUE"""),"Progress Acquisition Corp.")</f>
        <v>Progress Acquisition Corp.</v>
      </c>
      <c r="C567" s="56" t="str">
        <f>IFERROR(__xludf.DUMMYFUNCTION("""COMPUTED_VALUE"""),"Searching")</f>
        <v>Searching</v>
      </c>
      <c r="D567" s="57" t="str">
        <f>IFERROR(__xludf.DUMMYFUNCTION("""COMPUTED_VALUE"""),"Media, Entertainment Tech")</f>
        <v>Media, Entertainment Tech</v>
      </c>
      <c r="E567" s="58"/>
      <c r="F567" s="59" t="str">
        <f>IFERROR(__xludf.DUMMYFUNCTION("""COMPUTED_VALUE"""),"Carl Vogel (Fmr President, DISH Network; Fmr CEO, Charter; Director of DISH, Sirius XM, AMC Networks; Fmr Non-Exec Chairman, Fanduel Group), Chris Kelly (Fmr Chairman, MoviePass; Co-owner, Sacramento Kings), Rich Battista (Fmr CEO, Time)")</f>
        <v>Carl Vogel (Fmr President, DISH Network; Fmr CEO, Charter; Director of DISH, Sirius XM, AMC Networks; Fmr Non-Exec Chairman, Fanduel Group), Chris Kelly (Fmr Chairman, MoviePass; Co-owner, Sacramento Kings), Rich Battista (Fmr CEO, Time)</v>
      </c>
      <c r="G567" s="60">
        <f>IFERROR(__xludf.DUMMYFUNCTION("""COMPUTED_VALUE"""),1.725E8)</f>
        <v>172500000</v>
      </c>
      <c r="H567" s="60">
        <f>IFERROR(__xludf.DUMMYFUNCTION("""COMPUTED_VALUE"""),1.71912E8)</f>
        <v>171912000</v>
      </c>
      <c r="I567" s="66">
        <f>IFERROR(__xludf.DUMMYFUNCTION("""COMPUTED_VALUE"""),9.88)</f>
        <v>9.88</v>
      </c>
      <c r="J567" s="62">
        <f>IFERROR(__xludf.DUMMYFUNCTION("""COMPUTED_VALUE"""),0.01126)</f>
        <v>0.01126</v>
      </c>
      <c r="K567" s="59">
        <f>IFERROR(__xludf.DUMMYFUNCTION("""COMPUTED_VALUE"""),10.0)</f>
        <v>10</v>
      </c>
      <c r="L567" s="87">
        <f>IFERROR(__xludf.DUMMYFUNCTION("""COMPUTED_VALUE"""),0.5602)</f>
        <v>0.5602</v>
      </c>
      <c r="M567" s="64" t="str">
        <f>IFERROR(__xludf.DUMMYFUNCTION("""COMPUTED_VALUE"""),"U: [1/2 W]; W: [1:1, $11.5]")</f>
        <v>U: [1/2 W]; W: [1:1, $11.5]</v>
      </c>
      <c r="N567" s="65" t="str">
        <f>IFERROR(__xludf.DUMMYFUNCTION("""COMPUTED_VALUE"""),"")</f>
        <v/>
      </c>
      <c r="O567" s="66">
        <f>IFERROR(__xludf.DUMMYFUNCTION("""COMPUTED_VALUE"""),0.0)</f>
        <v>0</v>
      </c>
      <c r="P567" s="67">
        <f>IFERROR(__xludf.DUMMYFUNCTION("""COMPUTED_VALUE"""),44236.0)</f>
        <v>44236</v>
      </c>
      <c r="Q567" s="68">
        <f>IFERROR(__xludf.DUMMYFUNCTION("""COMPUTED_VALUE"""),172.5)</f>
        <v>172.5</v>
      </c>
      <c r="R567" s="85" t="str">
        <f>IFERROR(__xludf.DUMMYFUNCTION("""COMPUTED_VALUE"""),"EarlyBirdCapital")</f>
        <v>EarlyBirdCapital</v>
      </c>
      <c r="S567" s="64">
        <f>IFERROR(__xludf.DUMMYFUNCTION("""COMPUTED_VALUE"""),44874.75)</f>
        <v>44874.75</v>
      </c>
      <c r="T567" s="70">
        <f>IFERROR(__xludf.DUMMYFUNCTION("""COMPUTED_VALUE"""),0.09393346379647749)</f>
        <v>0.0939334638</v>
      </c>
      <c r="U567" s="71" t="str">
        <f>IFERROR(__xludf.DUMMYFUNCTION("""COMPUTED_VALUE"""),"https://www.sec.gov/cgi-bin/browse-edgar?CIK=1833213")</f>
        <v>https://www.sec.gov/cgi-bin/browse-edgar?CIK=1833213</v>
      </c>
      <c r="V567" s="72" t="str">
        <f>IFERROR(__xludf.DUMMYFUNCTION("""COMPUTED_VALUE""")," Trading Below $10 (Common)           ")</f>
        <v> Trading Below $10 (Common)           </v>
      </c>
      <c r="W567" s="73"/>
      <c r="X567" s="74"/>
      <c r="Y567" s="75"/>
      <c r="Z567" s="60"/>
      <c r="AA567" s="60"/>
      <c r="AB567" s="60"/>
      <c r="AC567" s="60"/>
      <c r="AD567" s="73"/>
      <c r="AE567" s="73"/>
      <c r="AF567" s="76"/>
      <c r="AG567" s="60" t="str">
        <f>IFERROR(__xludf.DUMMYFUNCTION("""COMPUTED_VALUE"""),"")</f>
        <v/>
      </c>
    </row>
    <row r="568">
      <c r="A568" s="54" t="str">
        <f>IFERROR(__xludf.DUMMYFUNCTION("""COMPUTED_VALUE"""),"PHIC")</f>
        <v>PHIC</v>
      </c>
      <c r="B568" s="55" t="str">
        <f>IFERROR(__xludf.DUMMYFUNCTION("""COMPUTED_VALUE"""),"Population Health Investment Co., Inc.")</f>
        <v>Population Health Investment Co., Inc.</v>
      </c>
      <c r="C568" s="56" t="str">
        <f>IFERROR(__xludf.DUMMYFUNCTION("""COMPUTED_VALUE"""),"Searching")</f>
        <v>Searching</v>
      </c>
      <c r="D568" s="57" t="str">
        <f>IFERROR(__xludf.DUMMYFUNCTION("""COMPUTED_VALUE"""),"Therapeutics, Healthcare")</f>
        <v>Therapeutics, Healthcare</v>
      </c>
      <c r="E568" s="58"/>
      <c r="F568" s="59" t="str">
        <f>IFERROR(__xludf.DUMMYFUNCTION("""COMPUTED_VALUE"""),"Ian Read (Fmr Chairman/CEO, Pfizer)")</f>
        <v>Ian Read (Fmr Chairman/CEO, Pfizer)</v>
      </c>
      <c r="G568" s="60">
        <f>IFERROR(__xludf.DUMMYFUNCTION("""COMPUTED_VALUE"""),1.72500227E8)</f>
        <v>172500227</v>
      </c>
      <c r="H568" s="60">
        <f>IFERROR(__xludf.DUMMYFUNCTION("""COMPUTED_VALUE"""),1.723275E8)</f>
        <v>172327500</v>
      </c>
      <c r="I568" s="66">
        <f>IFERROR(__xludf.DUMMYFUNCTION("""COMPUTED_VALUE"""),9.99)</f>
        <v>9.99</v>
      </c>
      <c r="J568" s="62">
        <f>IFERROR(__xludf.DUMMYFUNCTION("""COMPUTED_VALUE"""),0.00402)</f>
        <v>0.00402</v>
      </c>
      <c r="K568" s="59">
        <f>IFERROR(__xludf.DUMMYFUNCTION("""COMPUTED_VALUE"""),10.34)</f>
        <v>10.34</v>
      </c>
      <c r="L568" s="87">
        <f>IFERROR(__xludf.DUMMYFUNCTION("""COMPUTED_VALUE"""),1.115)</f>
        <v>1.115</v>
      </c>
      <c r="M568" s="64" t="str">
        <f>IFERROR(__xludf.DUMMYFUNCTION("""COMPUTED_VALUE"""),"U: [1/3 W]; W: [1:1, $11.5]")</f>
        <v>U: [1/3 W]; W: [1:1, $11.5]</v>
      </c>
      <c r="N568" s="65" t="str">
        <f>IFERROR(__xludf.DUMMYFUNCTION("""COMPUTED_VALUE"""),"")</f>
        <v/>
      </c>
      <c r="O568" s="66">
        <f>IFERROR(__xludf.DUMMYFUNCTION("""COMPUTED_VALUE"""),0.0)</f>
        <v>0</v>
      </c>
      <c r="P568" s="67">
        <f>IFERROR(__xludf.DUMMYFUNCTION("""COMPUTED_VALUE"""),44153.0)</f>
        <v>44153</v>
      </c>
      <c r="Q568" s="68">
        <f>IFERROR(__xludf.DUMMYFUNCTION("""COMPUTED_VALUE"""),172.5)</f>
        <v>172.5</v>
      </c>
      <c r="R568" s="85" t="str">
        <f>IFERROR(__xludf.DUMMYFUNCTION("""COMPUTED_VALUE"""),"JP Morgan")</f>
        <v>JP Morgan</v>
      </c>
      <c r="S568" s="64">
        <f>IFERROR(__xludf.DUMMYFUNCTION("""COMPUTED_VALUE"""),44883.0)</f>
        <v>44883</v>
      </c>
      <c r="T568" s="70">
        <f>IFERROR(__xludf.DUMMYFUNCTION("""COMPUTED_VALUE"""),0.1958904109589041)</f>
        <v>0.195890411</v>
      </c>
      <c r="U568" s="71" t="str">
        <f>IFERROR(__xludf.DUMMYFUNCTION("""COMPUTED_VALUE"""),"https://www.sec.gov/cgi-bin/browse-edgar?CIK=1825724")</f>
        <v>https://www.sec.gov/cgi-bin/browse-edgar?CIK=1825724</v>
      </c>
      <c r="V568" s="72" t="str">
        <f>IFERROR(__xludf.DUMMYFUNCTION("""COMPUTED_VALUE""")," Trading Below $10 (Common)        Well-known Sponsor  Top Tier UW ")</f>
        <v> Trading Below $10 (Common)        Well-known Sponsor  Top Tier UW </v>
      </c>
      <c r="W568" s="73"/>
      <c r="X568" s="74"/>
      <c r="Y568" s="75"/>
      <c r="Z568" s="60"/>
      <c r="AA568" s="60"/>
      <c r="AB568" s="60"/>
      <c r="AC568" s="60"/>
      <c r="AD568" s="73"/>
      <c r="AE568" s="73"/>
      <c r="AF568" s="76"/>
      <c r="AG568" s="60" t="str">
        <f>IFERROR(__xludf.DUMMYFUNCTION("""COMPUTED_VALUE"""),"")</f>
        <v/>
      </c>
    </row>
    <row r="569">
      <c r="A569" s="54" t="str">
        <f>IFERROR(__xludf.DUMMYFUNCTION("""COMPUTED_VALUE"""),"PIAI")</f>
        <v>PIAI</v>
      </c>
      <c r="B569" s="55" t="str">
        <f>IFERROR(__xludf.DUMMYFUNCTION("""COMPUTED_VALUE"""),"Prime Impact Acquisition I")</f>
        <v>Prime Impact Acquisition I</v>
      </c>
      <c r="C569" s="56" t="str">
        <f>IFERROR(__xludf.DUMMYFUNCTION("""COMPUTED_VALUE"""),"Searching")</f>
        <v>Searching</v>
      </c>
      <c r="D569" s="57" t="str">
        <f>IFERROR(__xludf.DUMMYFUNCTION("""COMPUTED_VALUE"""),"TMT, MedTech and Industrial Tech (Data-Centric)")</f>
        <v>TMT, MedTech and Industrial Tech (Data-Centric)</v>
      </c>
      <c r="E569" s="58"/>
      <c r="F569" s="59" t="str">
        <f>IFERROR(__xludf.DUMMYFUNCTION("""COMPUTED_VALUE"""),"Mike Cordano (Former COO of Western Digital), Jim McLean (Founder of Silicon Valley Data Capital), Cathleen Benko (Former Chief Communications Officer of Deloitte; Member of Board of Directors of NIKE), Dixon Doll (Co-founder, Accel Partners), Keyur Patel"&amp;" (Former Chief Strategy Officer, KPMG)  ")</f>
        <v>Mike Cordano (Former COO of Western Digital), Jim McLean (Founder of Silicon Valley Data Capital), Cathleen Benko (Former Chief Communications Officer of Deloitte; Member of Board of Directors of NIKE), Dixon Doll (Co-founder, Accel Partners), Keyur Patel (Former Chief Strategy Officer, KPMG)  </v>
      </c>
      <c r="G569" s="60">
        <f>IFERROR(__xludf.DUMMYFUNCTION("""COMPUTED_VALUE"""),3.24170661E8)</f>
        <v>324170661</v>
      </c>
      <c r="H569" s="60">
        <f>IFERROR(__xludf.DUMMYFUNCTION("""COMPUTED_VALUE"""),2.27454419E8)</f>
        <v>227454419</v>
      </c>
      <c r="I569" s="66">
        <f>IFERROR(__xludf.DUMMYFUNCTION("""COMPUTED_VALUE"""),9.91)</f>
        <v>9.91</v>
      </c>
      <c r="J569" s="62"/>
      <c r="K569" s="59">
        <f>IFERROR(__xludf.DUMMYFUNCTION("""COMPUTED_VALUE"""),10.07)</f>
        <v>10.07</v>
      </c>
      <c r="L569" s="87">
        <f>IFERROR(__xludf.DUMMYFUNCTION("""COMPUTED_VALUE"""),0.89)</f>
        <v>0.89</v>
      </c>
      <c r="M569" s="64" t="str">
        <f>IFERROR(__xludf.DUMMYFUNCTION("""COMPUTED_VALUE"""),"U: [1/3 W]; W: [1:1, $11.5]")</f>
        <v>U: [1/3 W]; W: [1:1, $11.5]</v>
      </c>
      <c r="N569" s="65" t="str">
        <f>IFERROR(__xludf.DUMMYFUNCTION("""COMPUTED_VALUE"""),"")</f>
        <v/>
      </c>
      <c r="O569" s="66">
        <f>IFERROR(__xludf.DUMMYFUNCTION("""COMPUTED_VALUE"""),0.0)</f>
        <v>0</v>
      </c>
      <c r="P569" s="67">
        <f>IFERROR(__xludf.DUMMYFUNCTION("""COMPUTED_VALUE"""),44084.0)</f>
        <v>44084</v>
      </c>
      <c r="Q569" s="68">
        <f>IFERROR(__xludf.DUMMYFUNCTION("""COMPUTED_VALUE"""),324.08414)</f>
        <v>324.08414</v>
      </c>
      <c r="R569" s="69" t="str">
        <f>IFERROR(__xludf.DUMMYFUNCTION("""COMPUTED_VALUE"""),"Goldman Sachs, BofA Securities")</f>
        <v>Goldman Sachs, BofA Securities</v>
      </c>
      <c r="S569" s="64">
        <f>IFERROR(__xludf.DUMMYFUNCTION("""COMPUTED_VALUE"""),44814.0)</f>
        <v>44814</v>
      </c>
      <c r="T569" s="70">
        <f>IFERROR(__xludf.DUMMYFUNCTION("""COMPUTED_VALUE"""),0.29041095890410956)</f>
        <v>0.2904109589</v>
      </c>
      <c r="U569" s="71" t="str">
        <f>IFERROR(__xludf.DUMMYFUNCTION("""COMPUTED_VALUE"""),"https://www.sec.gov/cgi-bin/browse-edgar?CIK=1819175")</f>
        <v>https://www.sec.gov/cgi-bin/browse-edgar?CIK=1819175</v>
      </c>
      <c r="V569" s="72" t="str">
        <f>IFERROR(__xludf.DUMMYFUNCTION("""COMPUTED_VALUE""")," Trading Below $10 (Common)          Top Tier UW ")</f>
        <v> Trading Below $10 (Common)          Top Tier UW </v>
      </c>
      <c r="W569" s="73"/>
      <c r="X569" s="74"/>
      <c r="Y569" s="75"/>
      <c r="Z569" s="60"/>
      <c r="AA569" s="60"/>
      <c r="AB569" s="60"/>
      <c r="AC569" s="60"/>
      <c r="AD569" s="73"/>
      <c r="AE569" s="73"/>
      <c r="AF569" s="76"/>
      <c r="AG569" s="60" t="str">
        <f>IFERROR(__xludf.DUMMYFUNCTION("""COMPUTED_VALUE"""),"")</f>
        <v/>
      </c>
    </row>
    <row r="570">
      <c r="A570" s="54" t="str">
        <f>IFERROR(__xludf.DUMMYFUNCTION("""COMPUTED_VALUE"""),"PICC")</f>
        <v>PICC</v>
      </c>
      <c r="B570" s="55" t="str">
        <f>IFERROR(__xludf.DUMMYFUNCTION("""COMPUTED_VALUE"""),"Pivotal Investment Corporation III")</f>
        <v>Pivotal Investment Corporation III</v>
      </c>
      <c r="C570" s="56" t="str">
        <f>IFERROR(__xludf.DUMMYFUNCTION("""COMPUTED_VALUE"""),"Searching")</f>
        <v>Searching</v>
      </c>
      <c r="D570" s="57" t="str">
        <f>IFERROR(__xludf.DUMMYFUNCTION("""COMPUTED_VALUE"""),"LogTech, “last mile” delivery, Tech, Cyber-security, Physical Security Sevices, Media, Entertainment, franchises")</f>
        <v>LogTech, “last mile” delivery, Tech, Cyber-security, Physical Security Sevices, Media, Entertainment, franchises</v>
      </c>
      <c r="E570" s="58"/>
      <c r="F570" s="59" t="str">
        <f>IFERROR(__xludf.DUMMYFUNCTION("""COMPUTED_VALUE"""),"Jonathan Ledecky (Co-owner New York Islanders; Director, XL Fleet; Fmr CEO, PIC), Katrina Adams (Fmr Chairman, US Open and Former Pro Tennis Player), Kevin Griffin (Founder/CEO, MGG Investment Group)")</f>
        <v>Jonathan Ledecky (Co-owner New York Islanders; Director, XL Fleet; Fmr CEO, PIC), Katrina Adams (Fmr Chairman, US Open and Former Pro Tennis Player), Kevin Griffin (Founder/CEO, MGG Investment Group)</v>
      </c>
      <c r="G570" s="60">
        <f>IFERROR(__xludf.DUMMYFUNCTION("""COMPUTED_VALUE"""),2.76E8)</f>
        <v>276000000</v>
      </c>
      <c r="H570" s="60">
        <f>IFERROR(__xludf.DUMMYFUNCTION("""COMPUTED_VALUE"""),2.7255E8)</f>
        <v>272550000</v>
      </c>
      <c r="I570" s="66">
        <f>IFERROR(__xludf.DUMMYFUNCTION("""COMPUTED_VALUE"""),9.875)</f>
        <v>9.875</v>
      </c>
      <c r="J570" s="62">
        <f>IFERROR(__xludf.DUMMYFUNCTION("""COMPUTED_VALUE"""),-0.00654)</f>
        <v>-0.00654</v>
      </c>
      <c r="K570" s="59">
        <f>IFERROR(__xludf.DUMMYFUNCTION("""COMPUTED_VALUE"""),10.09)</f>
        <v>10.09</v>
      </c>
      <c r="L570" s="87">
        <f>IFERROR(__xludf.DUMMYFUNCTION("""COMPUTED_VALUE"""),0.9824)</f>
        <v>0.9824</v>
      </c>
      <c r="M570" s="64" t="str">
        <f>IFERROR(__xludf.DUMMYFUNCTION("""COMPUTED_VALUE"""),"U: [1/5 W]; W: [1:1, $11.5]")</f>
        <v>U: [1/5 W]; W: [1:1, $11.5]</v>
      </c>
      <c r="N570" s="65" t="str">
        <f>IFERROR(__xludf.DUMMYFUNCTION("""COMPUTED_VALUE"""),"")</f>
        <v/>
      </c>
      <c r="O570" s="66">
        <f>IFERROR(__xludf.DUMMYFUNCTION("""COMPUTED_VALUE"""),0.0)</f>
        <v>0</v>
      </c>
      <c r="P570" s="67">
        <f>IFERROR(__xludf.DUMMYFUNCTION("""COMPUTED_VALUE"""),44235.0)</f>
        <v>44235</v>
      </c>
      <c r="Q570" s="68">
        <f>IFERROR(__xludf.DUMMYFUNCTION("""COMPUTED_VALUE"""),276.0)</f>
        <v>276</v>
      </c>
      <c r="R570" s="85" t="str">
        <f>IFERROR(__xludf.DUMMYFUNCTION("""COMPUTED_VALUE"""),"Cantor")</f>
        <v>Cantor</v>
      </c>
      <c r="S570" s="64">
        <f>IFERROR(__xludf.DUMMYFUNCTION("""COMPUTED_VALUE"""),44965.0)</f>
        <v>44965</v>
      </c>
      <c r="T570" s="70">
        <f>IFERROR(__xludf.DUMMYFUNCTION("""COMPUTED_VALUE"""),0.08356164383561644)</f>
        <v>0.08356164384</v>
      </c>
      <c r="U570" s="71" t="str">
        <f>IFERROR(__xludf.DUMMYFUNCTION("""COMPUTED_VALUE"""),"https://www.sec.gov/cgi-bin/browse-edgar?CIK=1835800")</f>
        <v>https://www.sec.gov/cgi-bin/browse-edgar?CIK=1835800</v>
      </c>
      <c r="V570" s="72" t="str">
        <f>IFERROR(__xludf.DUMMYFUNCTION("""COMPUTED_VALUE""")," Trading Below $10 (Common)        Well-known Sponsor Serial Sponsor  ")</f>
        <v> Trading Below $10 (Common)        Well-known Sponsor Serial Sponsor  </v>
      </c>
      <c r="W570" s="73"/>
      <c r="X570" s="74"/>
      <c r="Y570" s="75"/>
      <c r="Z570" s="60"/>
      <c r="AA570" s="60"/>
      <c r="AB570" s="60"/>
      <c r="AC570" s="60"/>
      <c r="AD570" s="73"/>
      <c r="AE570" s="73"/>
      <c r="AF570" s="76"/>
      <c r="AG570" s="60" t="str">
        <f>IFERROR(__xludf.DUMMYFUNCTION("""COMPUTED_VALUE"""),"")</f>
        <v/>
      </c>
    </row>
    <row r="571">
      <c r="A571" s="54" t="str">
        <f>IFERROR(__xludf.DUMMYFUNCTION("""COMPUTED_VALUE"""),"PIPP")</f>
        <v>PIPP</v>
      </c>
      <c r="B571" s="55" t="str">
        <f>IFERROR(__xludf.DUMMYFUNCTION("""COMPUTED_VALUE"""),"Pine Island Acquisition Corp.")</f>
        <v>Pine Island Acquisition Corp.</v>
      </c>
      <c r="C571" s="56" t="str">
        <f>IFERROR(__xludf.DUMMYFUNCTION("""COMPUTED_VALUE"""),"Searching")</f>
        <v>Searching</v>
      </c>
      <c r="D571" s="57" t="str">
        <f>IFERROR(__xludf.DUMMYFUNCTION("""COMPUTED_VALUE"""),"Defense, Government service and Aerospace")</f>
        <v>Defense, Government service and Aerospace</v>
      </c>
      <c r="E571" s="58"/>
      <c r="F571" s="59" t="str">
        <f>IFERROR(__xludf.DUMMYFUNCTION("""COMPUTED_VALUE"""),"John Thain (Fmr CEO of Merrill Lynch and NYSE; Director, Uber), Philip Cooper (Fmr Partner/CIO, Goldman Sachs Private Equity), Ambassador Stuart Holliday, Ambassador Capricia Marshall (Fmr US Chief of Protocol), Michael Roemer (Fmr Chief Compliance Office"&amp;"r, Wells Fargo)")</f>
        <v>John Thain (Fmr CEO of Merrill Lynch and NYSE; Director, Uber), Philip Cooper (Fmr Partner/CIO, Goldman Sachs Private Equity), Ambassador Stuart Holliday, Ambassador Capricia Marshall (Fmr US Chief of Protocol), Michael Roemer (Fmr Chief Compliance Officer, Wells Fargo)</v>
      </c>
      <c r="G571" s="60">
        <f>IFERROR(__xludf.DUMMYFUNCTION("""COMPUTED_VALUE"""),2.1840256E8)</f>
        <v>218402560</v>
      </c>
      <c r="H571" s="60">
        <f>IFERROR(__xludf.DUMMYFUNCTION("""COMPUTED_VALUE"""),2.18824776E8)</f>
        <v>218824776</v>
      </c>
      <c r="I571" s="66">
        <f>IFERROR(__xludf.DUMMYFUNCTION("""COMPUTED_VALUE"""),10.02)</f>
        <v>10.02</v>
      </c>
      <c r="J571" s="62">
        <f>IFERROR(__xludf.DUMMYFUNCTION("""COMPUTED_VALUE"""),-0.01475)</f>
        <v>-0.01475</v>
      </c>
      <c r="K571" s="59">
        <f>IFERROR(__xludf.DUMMYFUNCTION("""COMPUTED_VALUE"""),10.55)</f>
        <v>10.55</v>
      </c>
      <c r="L571" s="87">
        <f>IFERROR(__xludf.DUMMYFUNCTION("""COMPUTED_VALUE"""),1.55)</f>
        <v>1.55</v>
      </c>
      <c r="M571" s="64" t="str">
        <f>IFERROR(__xludf.DUMMYFUNCTION("""COMPUTED_VALUE"""),"U: [1/3 W]; W: [1:1, $11.5]")</f>
        <v>U: [1/3 W]; W: [1:1, $11.5]</v>
      </c>
      <c r="N571" s="65" t="str">
        <f>IFERROR(__xludf.DUMMYFUNCTION("""COMPUTED_VALUE"""),"")</f>
        <v/>
      </c>
      <c r="O571" s="66">
        <f>IFERROR(__xludf.DUMMYFUNCTION("""COMPUTED_VALUE"""),0.0)</f>
        <v>0</v>
      </c>
      <c r="P571" s="67">
        <f>IFERROR(__xludf.DUMMYFUNCTION("""COMPUTED_VALUE"""),44151.0)</f>
        <v>44151</v>
      </c>
      <c r="Q571" s="68">
        <f>IFERROR(__xludf.DUMMYFUNCTION("""COMPUTED_VALUE"""),218.388)</f>
        <v>218.388</v>
      </c>
      <c r="R571" s="85" t="str">
        <f>IFERROR(__xludf.DUMMYFUNCTION("""COMPUTED_VALUE"""),"Citigroup")</f>
        <v>Citigroup</v>
      </c>
      <c r="S571" s="64">
        <f>IFERROR(__xludf.DUMMYFUNCTION("""COMPUTED_VALUE"""),44881.0)</f>
        <v>44881</v>
      </c>
      <c r="T571" s="70">
        <f>IFERROR(__xludf.DUMMYFUNCTION("""COMPUTED_VALUE"""),0.19863013698630136)</f>
        <v>0.198630137</v>
      </c>
      <c r="U571" s="71" t="str">
        <f>IFERROR(__xludf.DUMMYFUNCTION("""COMPUTED_VALUE"""),"https://www.sec.gov/cgi-bin/browse-edgar?CIK=1822835")</f>
        <v>https://www.sec.gov/cgi-bin/browse-edgar?CIK=1822835</v>
      </c>
      <c r="V571" s="72" t="str">
        <f>IFERROR(__xludf.DUMMYFUNCTION("""COMPUTED_VALUE"""),"Aerospace     Optionable    Well-known Sponsor  Top Tier UW ")</f>
        <v>Aerospace     Optionable    Well-known Sponsor  Top Tier UW </v>
      </c>
      <c r="W571" s="73"/>
      <c r="X571" s="74"/>
      <c r="Y571" s="75"/>
      <c r="Z571" s="60"/>
      <c r="AA571" s="60"/>
      <c r="AB571" s="60"/>
      <c r="AC571" s="60"/>
      <c r="AD571" s="73"/>
      <c r="AE571" s="73"/>
      <c r="AF571" s="76"/>
      <c r="AG571" s="60" t="str">
        <f>IFERROR(__xludf.DUMMYFUNCTION("""COMPUTED_VALUE"""),"")</f>
        <v/>
      </c>
    </row>
    <row r="572">
      <c r="A572" s="88" t="str">
        <f>IFERROR(__xludf.DUMMYFUNCTION("""COMPUTED_VALUE"""),"PLMI")</f>
        <v>PLMI</v>
      </c>
      <c r="B572" s="55" t="str">
        <f>IFERROR(__xludf.DUMMYFUNCTION("""COMPUTED_VALUE"""),"Plum Acquisition Corp. I")</f>
        <v>Plum Acquisition Corp. I</v>
      </c>
      <c r="C572" s="56" t="str">
        <f>IFERROR(__xludf.DUMMYFUNCTION("""COMPUTED_VALUE"""),"Searching (Pre Unit Split)")</f>
        <v>Searching (Pre Unit Split)</v>
      </c>
      <c r="D572" s="77" t="str">
        <f>IFERROR(__xludf.DUMMYFUNCTION("""COMPUTED_VALUE"""),"Software/ Tech, Health &amp; Wellbeing")</f>
        <v>Software/ Tech, Health &amp; Wellbeing</v>
      </c>
      <c r="E572" s="58"/>
      <c r="F572" s="59" t="str">
        <f>IFERROR(__xludf.DUMMYFUNCTION("""COMPUTED_VALUE"""),"Ursula Burns (Fmr CEO, Xerox; Director, Nestle, Uber, &amp; Exxon Mobil), Mike Dinsdale (Fmr CFO, Gusto; Fmr CFO, DoorDash; Fmr CFO, DocuSign), Kevin Turner (Fmr COO, Microsoft; Fmr CEO, Sam’s Club; Fmr Director, Nordstrom; Fmr Vice Chairman, Citadel), Alok S"&amp;"ama (Fmr CFO, SoftBank Group)")</f>
        <v>Ursula Burns (Fmr CEO, Xerox; Director, Nestle, Uber, &amp; Exxon Mobil), Mike Dinsdale (Fmr CFO, Gusto; Fmr CFO, DoorDash; Fmr CFO, DocuSign), Kevin Turner (Fmr COO, Microsoft; Fmr CEO, Sam’s Club; Fmr Director, Nordstrom; Fmr Vice Chairman, Citadel), Alok Sama (Fmr CFO, SoftBank Group)</v>
      </c>
      <c r="G572" s="60">
        <f>IFERROR(__xludf.DUMMYFUNCTION("""COMPUTED_VALUE"""),3.0E8)</f>
        <v>300000000</v>
      </c>
      <c r="H572" s="60" t="str">
        <f>IFERROR(__xludf.DUMMYFUNCTION("""COMPUTED_VALUE""")," ")</f>
        <v> </v>
      </c>
      <c r="I572" s="66" t="str">
        <f>IFERROR(__xludf.DUMMYFUNCTION("""COMPUTED_VALUE""")," ")</f>
        <v> </v>
      </c>
      <c r="J572" s="62" t="str">
        <f>IFERROR(__xludf.DUMMYFUNCTION("""COMPUTED_VALUE""")," ")</f>
        <v> </v>
      </c>
      <c r="K572" s="59">
        <f>IFERROR(__xludf.DUMMYFUNCTION("""COMPUTED_VALUE"""),10.03)</f>
        <v>10.03</v>
      </c>
      <c r="L572" s="87" t="str">
        <f>IFERROR(__xludf.DUMMYFUNCTION("""COMPUTED_VALUE""")," ")</f>
        <v> </v>
      </c>
      <c r="M572" s="64" t="str">
        <f>IFERROR(__xludf.DUMMYFUNCTION("""COMPUTED_VALUE"""),"U: [1/5 W]; W: [1:1, $11.5]")</f>
        <v>U: [1/5 W]; W: [1:1, $11.5]</v>
      </c>
      <c r="N572" s="65">
        <f>IFERROR(__xludf.DUMMYFUNCTION("""COMPUTED_VALUE"""),44322.0)</f>
        <v>44322</v>
      </c>
      <c r="O572" s="66" t="str">
        <f>IFERROR(__xludf.DUMMYFUNCTION("""COMPUTED_VALUE"""),"")</f>
        <v/>
      </c>
      <c r="P572" s="67">
        <f>IFERROR(__xludf.DUMMYFUNCTION("""COMPUTED_VALUE"""),44270.0)</f>
        <v>44270</v>
      </c>
      <c r="Q572" s="68">
        <f>IFERROR(__xludf.DUMMYFUNCTION("""COMPUTED_VALUE"""),300.0)</f>
        <v>300</v>
      </c>
      <c r="R572" s="69" t="str">
        <f>IFERROR(__xludf.DUMMYFUNCTION("""COMPUTED_VALUE"""),"Goldman Sachs &amp; Co. LLC")</f>
        <v>Goldman Sachs &amp; Co. LLC</v>
      </c>
      <c r="S572" s="64">
        <f>IFERROR(__xludf.DUMMYFUNCTION("""COMPUTED_VALUE"""),45000.0)</f>
        <v>45000</v>
      </c>
      <c r="T572" s="70">
        <f>IFERROR(__xludf.DUMMYFUNCTION("""COMPUTED_VALUE"""),0.03561643835616438)</f>
        <v>0.03561643836</v>
      </c>
      <c r="U572" s="71" t="str">
        <f>IFERROR(__xludf.DUMMYFUNCTION("""COMPUTED_VALUE"""),"https://www.sec.gov/cgi-bin/browse-edgar?CIK=1840317")</f>
        <v>https://www.sec.gov/cgi-bin/browse-edgar?CIK=1840317</v>
      </c>
      <c r="V572" s="72" t="str">
        <f>IFERROR(__xludf.DUMMYFUNCTION("""COMPUTED_VALUE"""),"         Well-known Sponsor  Top Tier UW ")</f>
        <v>         Well-known Sponsor  Top Tier UW </v>
      </c>
      <c r="W572" s="73"/>
      <c r="X572" s="74"/>
      <c r="Y572" s="75"/>
      <c r="Z572" s="60"/>
      <c r="AA572" s="60"/>
      <c r="AB572" s="60"/>
      <c r="AC572" s="60"/>
      <c r="AD572" s="73"/>
      <c r="AE572" s="73"/>
      <c r="AF572" s="76"/>
      <c r="AG572" s="60"/>
    </row>
    <row r="573">
      <c r="A573" s="54" t="str">
        <f>IFERROR(__xludf.DUMMYFUNCTION("""COMPUTED_VALUE"""),"PMGM")</f>
        <v>PMGM</v>
      </c>
      <c r="B573" s="55" t="str">
        <f>IFERROR(__xludf.DUMMYFUNCTION("""COMPUTED_VALUE"""),"Priveterra Acquisition Corp.")</f>
        <v>Priveterra Acquisition Corp.</v>
      </c>
      <c r="C573" s="56" t="str">
        <f>IFERROR(__xludf.DUMMYFUNCTION("""COMPUTED_VALUE"""),"Searching (Pre Unit Split)")</f>
        <v>Searching (Pre Unit Split)</v>
      </c>
      <c r="D573" s="57" t="str">
        <f>IFERROR(__xludf.DUMMYFUNCTION("""COMPUTED_VALUE"""),"MedTech, Healthcare")</f>
        <v>MedTech, Healthcare</v>
      </c>
      <c r="E573" s="58"/>
      <c r="F573" s="59"/>
      <c r="G573" s="60">
        <f>IFERROR(__xludf.DUMMYFUNCTION("""COMPUTED_VALUE"""),2.76E8)</f>
        <v>276000000</v>
      </c>
      <c r="H573" s="60" t="str">
        <f>IFERROR(__xludf.DUMMYFUNCTION("""COMPUTED_VALUE""")," ")</f>
        <v> </v>
      </c>
      <c r="I573" s="66" t="str">
        <f>IFERROR(__xludf.DUMMYFUNCTION("""COMPUTED_VALUE""")," ")</f>
        <v> </v>
      </c>
      <c r="J573" s="62" t="str">
        <f>IFERROR(__xludf.DUMMYFUNCTION("""COMPUTED_VALUE""")," ")</f>
        <v> </v>
      </c>
      <c r="K573" s="59">
        <f>IFERROR(__xludf.DUMMYFUNCTION("""COMPUTED_VALUE"""),9.99)</f>
        <v>9.99</v>
      </c>
      <c r="L573" s="87" t="str">
        <f>IFERROR(__xludf.DUMMYFUNCTION("""COMPUTED_VALUE""")," ")</f>
        <v> </v>
      </c>
      <c r="M573" s="64" t="str">
        <f>IFERROR(__xludf.DUMMYFUNCTION("""COMPUTED_VALUE"""),"U: [1/3 W]; W: [1:1, $11.5]")</f>
        <v>U: [1/3 W]; W: [1:1, $11.5]</v>
      </c>
      <c r="N573" s="65">
        <f>IFERROR(__xludf.DUMMYFUNCTION("""COMPUTED_VALUE"""),44287.0)</f>
        <v>44287</v>
      </c>
      <c r="O573" s="66" t="str">
        <f>IFERROR(__xludf.DUMMYFUNCTION("""COMPUTED_VALUE"""),"")</f>
        <v/>
      </c>
      <c r="P573" s="67">
        <f>IFERROR(__xludf.DUMMYFUNCTION("""COMPUTED_VALUE"""),44235.0)</f>
        <v>44235</v>
      </c>
      <c r="Q573" s="68">
        <f>IFERROR(__xludf.DUMMYFUNCTION("""COMPUTED_VALUE"""),276.0)</f>
        <v>276</v>
      </c>
      <c r="R573" s="85" t="str">
        <f>IFERROR(__xludf.DUMMYFUNCTION("""COMPUTED_VALUE"""),"Wells Fargo Securities, Guggenheim Securities, Odeon Capital Group, LLC")</f>
        <v>Wells Fargo Securities, Guggenheim Securities, Odeon Capital Group, LLC</v>
      </c>
      <c r="S573" s="64">
        <f>IFERROR(__xludf.DUMMYFUNCTION("""COMPUTED_VALUE"""),44965.0)</f>
        <v>44965</v>
      </c>
      <c r="T573" s="70">
        <f>IFERROR(__xludf.DUMMYFUNCTION("""COMPUTED_VALUE"""),0.08356164383561644)</f>
        <v>0.08356164384</v>
      </c>
      <c r="U573" s="71" t="str">
        <f>IFERROR(__xludf.DUMMYFUNCTION("""COMPUTED_VALUE"""),"https://www.sec.gov/cgi-bin/browse-edgar?CIK=1837607")</f>
        <v>https://www.sec.gov/cgi-bin/browse-edgar?CIK=1837607</v>
      </c>
      <c r="V573" s="72" t="str">
        <f>IFERROR(__xludf.DUMMYFUNCTION("""COMPUTED_VALUE"""),"            ")</f>
        <v>            </v>
      </c>
      <c r="W573" s="73"/>
      <c r="X573" s="74"/>
      <c r="Y573" s="75"/>
      <c r="Z573" s="60"/>
      <c r="AA573" s="60"/>
      <c r="AB573" s="60"/>
      <c r="AC573" s="60"/>
      <c r="AD573" s="73"/>
      <c r="AE573" s="73"/>
      <c r="AF573" s="76"/>
      <c r="AG573" s="60" t="str">
        <f>IFERROR(__xludf.DUMMYFUNCTION("""COMPUTED_VALUE"""),"")</f>
        <v/>
      </c>
    </row>
    <row r="574">
      <c r="A574" s="54" t="str">
        <f>IFERROR(__xludf.DUMMYFUNCTION("""COMPUTED_VALUE"""),"PMVC")</f>
        <v>PMVC</v>
      </c>
      <c r="B574" s="55" t="str">
        <f>IFERROR(__xludf.DUMMYFUNCTION("""COMPUTED_VALUE"""),"PMV Consumer Acquisition Corp.")</f>
        <v>PMV Consumer Acquisition Corp.</v>
      </c>
      <c r="C574" s="56" t="str">
        <f>IFERROR(__xludf.DUMMYFUNCTION("""COMPUTED_VALUE"""),"Searching")</f>
        <v>Searching</v>
      </c>
      <c r="D574" s="57" t="str">
        <f>IFERROR(__xludf.DUMMYFUNCTION("""COMPUTED_VALUE"""),"Consumer, Consumer Tech, Infrastructure, Supply Chain")</f>
        <v>Consumer, Consumer Tech, Infrastructure, Supply Chain</v>
      </c>
      <c r="E574" s="58"/>
      <c r="F574" s="59"/>
      <c r="G574" s="60">
        <f>IFERROR(__xludf.DUMMYFUNCTION("""COMPUTED_VALUE"""),1.75002426E8)</f>
        <v>175002426</v>
      </c>
      <c r="H574" s="60">
        <f>IFERROR(__xludf.DUMMYFUNCTION("""COMPUTED_VALUE"""),1.7325E8)</f>
        <v>173250000</v>
      </c>
      <c r="I574" s="66">
        <f>IFERROR(__xludf.DUMMYFUNCTION("""COMPUTED_VALUE"""),9.9)</f>
        <v>9.9</v>
      </c>
      <c r="J574" s="62">
        <f>IFERROR(__xludf.DUMMYFUNCTION("""COMPUTED_VALUE"""),0.01279)</f>
        <v>0.01279</v>
      </c>
      <c r="K574" s="59">
        <f>IFERROR(__xludf.DUMMYFUNCTION("""COMPUTED_VALUE"""),10.25)</f>
        <v>10.25</v>
      </c>
      <c r="L574" s="87">
        <f>IFERROR(__xludf.DUMMYFUNCTION("""COMPUTED_VALUE"""),0.97)</f>
        <v>0.97</v>
      </c>
      <c r="M574" s="64" t="str">
        <f>IFERROR(__xludf.DUMMYFUNCTION("""COMPUTED_VALUE"""),"U: [1/2 W]; W: [1:1, $11.5]")</f>
        <v>U: [1/2 W]; W: [1:1, $11.5]</v>
      </c>
      <c r="N574" s="65" t="str">
        <f>IFERROR(__xludf.DUMMYFUNCTION("""COMPUTED_VALUE"""),"")</f>
        <v/>
      </c>
      <c r="O574" s="66">
        <f>IFERROR(__xludf.DUMMYFUNCTION("""COMPUTED_VALUE"""),0.0)</f>
        <v>0</v>
      </c>
      <c r="P574" s="67">
        <f>IFERROR(__xludf.DUMMYFUNCTION("""COMPUTED_VALUE"""),44095.0)</f>
        <v>44095</v>
      </c>
      <c r="Q574" s="68">
        <f>IFERROR(__xludf.DUMMYFUNCTION("""COMPUTED_VALUE"""),175.0)</f>
        <v>175</v>
      </c>
      <c r="R574" s="85" t="str">
        <f>IFERROR(__xludf.DUMMYFUNCTION("""COMPUTED_VALUE"""),"UBS, BTIG")</f>
        <v>UBS, BTIG</v>
      </c>
      <c r="S574" s="64">
        <f>IFERROR(__xludf.DUMMYFUNCTION("""COMPUTED_VALUE"""),44825.0)</f>
        <v>44825</v>
      </c>
      <c r="T574" s="70">
        <f>IFERROR(__xludf.DUMMYFUNCTION("""COMPUTED_VALUE"""),0.27534246575342464)</f>
        <v>0.2753424658</v>
      </c>
      <c r="U574" s="71" t="str">
        <f>IFERROR(__xludf.DUMMYFUNCTION("""COMPUTED_VALUE"""),"https://www.sec.gov/cgi-bin/browse-edgar?CIK=1807765")</f>
        <v>https://www.sec.gov/cgi-bin/browse-edgar?CIK=1807765</v>
      </c>
      <c r="V574" s="72" t="str">
        <f>IFERROR(__xludf.DUMMYFUNCTION("""COMPUTED_VALUE""")," Trading Below $10 (Common)           ")</f>
        <v> Trading Below $10 (Common)           </v>
      </c>
      <c r="W574" s="73"/>
      <c r="X574" s="74"/>
      <c r="Y574" s="75"/>
      <c r="Z574" s="60"/>
      <c r="AA574" s="60"/>
      <c r="AB574" s="60"/>
      <c r="AC574" s="60"/>
      <c r="AD574" s="73"/>
      <c r="AE574" s="73"/>
      <c r="AF574" s="76"/>
      <c r="AG574" s="60" t="str">
        <f>IFERROR(__xludf.DUMMYFUNCTION("""COMPUTED_VALUE"""),"")</f>
        <v/>
      </c>
    </row>
    <row r="575">
      <c r="A575" s="54" t="str">
        <f>IFERROR(__xludf.DUMMYFUNCTION("""COMPUTED_VALUE"""),"PNTM")</f>
        <v>PNTM</v>
      </c>
      <c r="B575" s="55" t="str">
        <f>IFERROR(__xludf.DUMMYFUNCTION("""COMPUTED_VALUE"""),"Pontem Corporation")</f>
        <v>Pontem Corporation</v>
      </c>
      <c r="C575" s="56" t="str">
        <f>IFERROR(__xludf.DUMMYFUNCTION("""COMPUTED_VALUE"""),"Searching")</f>
        <v>Searching</v>
      </c>
      <c r="D575" s="57" t="str">
        <f>IFERROR(__xludf.DUMMYFUNCTION("""COMPUTED_VALUE"""),"Industrial Tech")</f>
        <v>Industrial Tech</v>
      </c>
      <c r="E575" s="58"/>
      <c r="F575" s="59"/>
      <c r="G575" s="60">
        <f>IFERROR(__xludf.DUMMYFUNCTION("""COMPUTED_VALUE"""),6.9E8)</f>
        <v>690000000</v>
      </c>
      <c r="H575" s="60">
        <f>IFERROR(__xludf.DUMMYFUNCTION("""COMPUTED_VALUE"""),6.7137E8)</f>
        <v>671370000</v>
      </c>
      <c r="I575" s="66">
        <f>IFERROR(__xludf.DUMMYFUNCTION("""COMPUTED_VALUE"""),9.73)</f>
        <v>9.73</v>
      </c>
      <c r="J575" s="62">
        <f>IFERROR(__xludf.DUMMYFUNCTION("""COMPUTED_VALUE"""),-0.00307)</f>
        <v>-0.00307</v>
      </c>
      <c r="K575" s="59">
        <f>IFERROR(__xludf.DUMMYFUNCTION("""COMPUTED_VALUE"""),10.01)</f>
        <v>10.01</v>
      </c>
      <c r="L575" s="87">
        <f>IFERROR(__xludf.DUMMYFUNCTION("""COMPUTED_VALUE"""),0.84)</f>
        <v>0.84</v>
      </c>
      <c r="M575" s="64" t="str">
        <f>IFERROR(__xludf.DUMMYFUNCTION("""COMPUTED_VALUE"""),"U: [1/3 W]; W: [1:1, $11.5]")</f>
        <v>U: [1/3 W]; W: [1:1, $11.5]</v>
      </c>
      <c r="N575" s="65">
        <f>IFERROR(__xludf.DUMMYFUNCTION("""COMPUTED_VALUE"""),44260.0)</f>
        <v>44260</v>
      </c>
      <c r="O575" s="66">
        <f>IFERROR(__xludf.DUMMYFUNCTION("""COMPUTED_VALUE"""),0.0)</f>
        <v>0</v>
      </c>
      <c r="P575" s="67">
        <f>IFERROR(__xludf.DUMMYFUNCTION("""COMPUTED_VALUE"""),44209.0)</f>
        <v>44209</v>
      </c>
      <c r="Q575" s="68">
        <f>IFERROR(__xludf.DUMMYFUNCTION("""COMPUTED_VALUE"""),690.0)</f>
        <v>690</v>
      </c>
      <c r="R575" s="69" t="str">
        <f>IFERROR(__xludf.DUMMYFUNCTION("""COMPUTED_VALUE"""),"Credit Suisse, Guggenheim Securities")</f>
        <v>Credit Suisse, Guggenheim Securities</v>
      </c>
      <c r="S575" s="64">
        <f>IFERROR(__xludf.DUMMYFUNCTION("""COMPUTED_VALUE"""),44939.0)</f>
        <v>44939</v>
      </c>
      <c r="T575" s="70">
        <f>IFERROR(__xludf.DUMMYFUNCTION("""COMPUTED_VALUE"""),0.11917808219178082)</f>
        <v>0.1191780822</v>
      </c>
      <c r="U575" s="71" t="str">
        <f>IFERROR(__xludf.DUMMYFUNCTION("""COMPUTED_VALUE"""),"https://www.sec.gov/cgi-bin/browse-edgar?CIK=1830392")</f>
        <v>https://www.sec.gov/cgi-bin/browse-edgar?CIK=1830392</v>
      </c>
      <c r="V575" s="72" t="str">
        <f>IFERROR(__xludf.DUMMYFUNCTION("""COMPUTED_VALUE""")," Trading Below $10 (Common)  $500M+ Trust        ")</f>
        <v> Trading Below $10 (Common)  $500M+ Trust        </v>
      </c>
      <c r="W575" s="73"/>
      <c r="X575" s="74"/>
      <c r="Y575" s="75"/>
      <c r="Z575" s="60"/>
      <c r="AA575" s="60"/>
      <c r="AB575" s="60"/>
      <c r="AC575" s="60"/>
      <c r="AD575" s="73"/>
      <c r="AE575" s="73"/>
      <c r="AF575" s="76"/>
      <c r="AG575" s="60" t="str">
        <f>IFERROR(__xludf.DUMMYFUNCTION("""COMPUTED_VALUE"""),"")</f>
        <v/>
      </c>
    </row>
    <row r="576">
      <c r="A576" s="88" t="str">
        <f>IFERROR(__xludf.DUMMYFUNCTION("""COMPUTED_VALUE"""),"POND")</f>
        <v>POND</v>
      </c>
      <c r="B576" s="55" t="str">
        <f>IFERROR(__xludf.DUMMYFUNCTION("""COMPUTED_VALUE"""),"Angel Pond Holdings Corp")</f>
        <v>Angel Pond Holdings Corp</v>
      </c>
      <c r="C576" s="56" t="str">
        <f>IFERROR(__xludf.DUMMYFUNCTION("""COMPUTED_VALUE"""),"Pre IPO")</f>
        <v>Pre IPO</v>
      </c>
      <c r="D576" s="57" t="str">
        <f>IFERROR(__xludf.DUMMYFUNCTION("""COMPUTED_VALUE"""),"Tech in China (incl: e-commerce, enterprise software, cloud computing, and Fintech)")</f>
        <v>Tech in China (incl: e-commerce, enterprise software, cloud computing, and Fintech)</v>
      </c>
      <c r="E576" s="58"/>
      <c r="F576" s="59" t="str">
        <f>IFERROR(__xludf.DUMMYFUNCTION("""COMPUTED_VALUE"""),"Simon Xie (Co-founder of Alibaba Group)")</f>
        <v>Simon Xie (Co-founder of Alibaba Group)</v>
      </c>
      <c r="G576" s="60">
        <f>IFERROR(__xludf.DUMMYFUNCTION("""COMPUTED_VALUE"""),3.0E8)</f>
        <v>300000000</v>
      </c>
      <c r="H576" s="60" t="str">
        <f>IFERROR(__xludf.DUMMYFUNCTION("""COMPUTED_VALUE""")," ")</f>
        <v> </v>
      </c>
      <c r="I576" s="66" t="str">
        <f>IFERROR(__xludf.DUMMYFUNCTION("""COMPUTED_VALUE""")," ")</f>
        <v> </v>
      </c>
      <c r="J576" s="62" t="str">
        <f>IFERROR(__xludf.DUMMYFUNCTION("""COMPUTED_VALUE""")," ")</f>
        <v> </v>
      </c>
      <c r="K576" s="59" t="str">
        <f>IFERROR(__xludf.DUMMYFUNCTION("""COMPUTED_VALUE""")," ")</f>
        <v> </v>
      </c>
      <c r="L576" s="87" t="str">
        <f>IFERROR(__xludf.DUMMYFUNCTION("""COMPUTED_VALUE""")," ")</f>
        <v> </v>
      </c>
      <c r="M576" s="64" t="str">
        <f>IFERROR(__xludf.DUMMYFUNCTION("""COMPUTED_VALUE"""),"U: [1/3 W]; W: [1:1, $11.5]")</f>
        <v>U: [1/3 W]; W: [1:1, $11.5]</v>
      </c>
      <c r="N576" s="65" t="str">
        <f>IFERROR(__xludf.DUMMYFUNCTION("""COMPUTED_VALUE"""),"")</f>
        <v/>
      </c>
      <c r="O576" s="66">
        <f>IFERROR(__xludf.DUMMYFUNCTION("""COMPUTED_VALUE"""),0.0)</f>
        <v>0</v>
      </c>
      <c r="P576" s="67"/>
      <c r="Q576" s="68">
        <f>IFERROR(__xludf.DUMMYFUNCTION("""COMPUTED_VALUE"""),300.0)</f>
        <v>300</v>
      </c>
      <c r="R576" s="69" t="str">
        <f>IFERROR(__xludf.DUMMYFUNCTION("""COMPUTED_VALUE"""),"Goldman Sachs (Asia) L.L.C., J.P. Morgan")</f>
        <v>Goldman Sachs (Asia) L.L.C., J.P. Morgan</v>
      </c>
      <c r="S576" s="64">
        <f>IFERROR(__xludf.DUMMYFUNCTION("""COMPUTED_VALUE"""),45086.0)</f>
        <v>45086</v>
      </c>
      <c r="T576" s="70" t="str">
        <f>IFERROR(__xludf.DUMMYFUNCTION("""COMPUTED_VALUE"""),"")</f>
        <v/>
      </c>
      <c r="U576" s="71" t="str">
        <f>IFERROR(__xludf.DUMMYFUNCTION("""COMPUTED_VALUE"""),"https://www.sec.gov/cgi-bin/browse-edgar?CIK=1842430")</f>
        <v>https://www.sec.gov/cgi-bin/browse-edgar?CIK=1842430</v>
      </c>
      <c r="V576" s="72" t="str">
        <f>IFERROR(__xludf.DUMMYFUNCTION("""COMPUTED_VALUE"""),"         Well-known Sponsor  Top Tier UW ")</f>
        <v>         Well-known Sponsor  Top Tier UW </v>
      </c>
      <c r="W576" s="73"/>
      <c r="X576" s="74"/>
      <c r="Y576" s="75"/>
      <c r="Z576" s="60"/>
      <c r="AA576" s="60"/>
      <c r="AB576" s="60"/>
      <c r="AC576" s="60"/>
      <c r="AD576" s="73"/>
      <c r="AE576" s="73"/>
      <c r="AF576" s="76"/>
      <c r="AG576" s="60"/>
    </row>
    <row r="577">
      <c r="A577" s="54" t="str">
        <f>IFERROR(__xludf.DUMMYFUNCTION("""COMPUTED_VALUE"""),"POW")</f>
        <v>POW</v>
      </c>
      <c r="B577" s="55" t="str">
        <f>IFERROR(__xludf.DUMMYFUNCTION("""COMPUTED_VALUE"""),"Powered Brands")</f>
        <v>Powered Brands</v>
      </c>
      <c r="C577" s="56" t="str">
        <f>IFERROR(__xludf.DUMMYFUNCTION("""COMPUTED_VALUE"""),"Searching")</f>
        <v>Searching</v>
      </c>
      <c r="D577" s="57" t="str">
        <f>IFERROR(__xludf.DUMMYFUNCTION("""COMPUTED_VALUE"""),"Beauty, Wellness, and Consumer-related")</f>
        <v>Beauty, Wellness, and Consumer-related</v>
      </c>
      <c r="E577" s="58"/>
      <c r="F577" s="59" t="str">
        <f>IFERROR(__xludf.DUMMYFUNCTION("""COMPUTED_VALUE"""),"Katherine Power (Co-founder/CEO, Clique Brands), Dana Settle (Founding Partner, Greycroft), Karen Cate (CFO/Ops Head, Thrive Market), Kimberly Paige (CMO, BET Networks)")</f>
        <v>Katherine Power (Co-founder/CEO, Clique Brands), Dana Settle (Founding Partner, Greycroft), Karen Cate (CFO/Ops Head, Thrive Market), Kimberly Paige (CMO, BET Networks)</v>
      </c>
      <c r="G577" s="60">
        <f>IFERROR(__xludf.DUMMYFUNCTION("""COMPUTED_VALUE"""),2.76E8)</f>
        <v>276000000</v>
      </c>
      <c r="H577" s="60">
        <f>IFERROR(__xludf.DUMMYFUNCTION("""COMPUTED_VALUE"""),2.707836E8)</f>
        <v>270783600</v>
      </c>
      <c r="I577" s="66">
        <f>IFERROR(__xludf.DUMMYFUNCTION("""COMPUTED_VALUE"""),9.811)</f>
        <v>9.811</v>
      </c>
      <c r="J577" s="62">
        <f>IFERROR(__xludf.DUMMYFUNCTION("""COMPUTED_VALUE"""),0.00317)</f>
        <v>0.00317</v>
      </c>
      <c r="K577" s="59" t="str">
        <f>IFERROR(__xludf.DUMMYFUNCTION("""COMPUTED_VALUE""")," ")</f>
        <v> </v>
      </c>
      <c r="L577" s="87">
        <f>IFERROR(__xludf.DUMMYFUNCTION("""COMPUTED_VALUE"""),7.31)</f>
        <v>7.31</v>
      </c>
      <c r="M577" s="64" t="str">
        <f>IFERROR(__xludf.DUMMYFUNCTION("""COMPUTED_VALUE"""),"U: [1/3 W]; W: [1:1, $11.5]")</f>
        <v>U: [1/3 W]; W: [1:1, $11.5]</v>
      </c>
      <c r="N577" s="65">
        <f>IFERROR(__xludf.DUMMYFUNCTION("""COMPUTED_VALUE"""),44258.0)</f>
        <v>44258</v>
      </c>
      <c r="O577" s="66">
        <f>IFERROR(__xludf.DUMMYFUNCTION("""COMPUTED_VALUE"""),0.0)</f>
        <v>0</v>
      </c>
      <c r="P577" s="67">
        <f>IFERROR(__xludf.DUMMYFUNCTION("""COMPUTED_VALUE"""),44203.0)</f>
        <v>44203</v>
      </c>
      <c r="Q577" s="68">
        <f>IFERROR(__xludf.DUMMYFUNCTION("""COMPUTED_VALUE"""),276.0)</f>
        <v>276</v>
      </c>
      <c r="R577" s="85" t="str">
        <f>IFERROR(__xludf.DUMMYFUNCTION("""COMPUTED_VALUE"""),"Credit Suisse")</f>
        <v>Credit Suisse</v>
      </c>
      <c r="S577" s="64">
        <f>IFERROR(__xludf.DUMMYFUNCTION("""COMPUTED_VALUE"""),44933.0)</f>
        <v>44933</v>
      </c>
      <c r="T577" s="70">
        <f>IFERROR(__xludf.DUMMYFUNCTION("""COMPUTED_VALUE"""),0.1273972602739726)</f>
        <v>0.1273972603</v>
      </c>
      <c r="U577" s="71" t="str">
        <f>IFERROR(__xludf.DUMMYFUNCTION("""COMPUTED_VALUE"""),"https://www.sec.gov/cgi-bin/browse-edgar?CIK=1829427")</f>
        <v>https://www.sec.gov/cgi-bin/browse-edgar?CIK=1829427</v>
      </c>
      <c r="V577" s="72" t="str">
        <f>IFERROR(__xludf.DUMMYFUNCTION("""COMPUTED_VALUE""")," Trading Below $10 (Common)           ")</f>
        <v> Trading Below $10 (Common)           </v>
      </c>
      <c r="W577" s="73"/>
      <c r="X577" s="74"/>
      <c r="Y577" s="75"/>
      <c r="Z577" s="60"/>
      <c r="AA577" s="60"/>
      <c r="AB577" s="60"/>
      <c r="AC577" s="60"/>
      <c r="AD577" s="73"/>
      <c r="AE577" s="73"/>
      <c r="AF577" s="76"/>
      <c r="AG577" s="60" t="str">
        <f>IFERROR(__xludf.DUMMYFUNCTION("""COMPUTED_VALUE"""),"")</f>
        <v/>
      </c>
    </row>
    <row r="578">
      <c r="A578" s="54" t="str">
        <f>IFERROR(__xludf.DUMMYFUNCTION("""COMPUTED_VALUE"""),"PPGH")</f>
        <v>PPGH</v>
      </c>
      <c r="B578" s="55" t="str">
        <f>IFERROR(__xludf.DUMMYFUNCTION("""COMPUTED_VALUE"""),"Poema Global Holdings Corp.")</f>
        <v>Poema Global Holdings Corp.</v>
      </c>
      <c r="C578" s="56" t="str">
        <f>IFERROR(__xludf.DUMMYFUNCTION("""COMPUTED_VALUE"""),"Searching")</f>
        <v>Searching</v>
      </c>
      <c r="D578" s="57" t="str">
        <f>IFERROR(__xludf.DUMMYFUNCTION("""COMPUTED_VALUE"""),"Tech (Focus in Europe &amp; Asia)")</f>
        <v>Tech (Focus in Europe &amp; Asia)</v>
      </c>
      <c r="E578" s="58"/>
      <c r="F578" s="59"/>
      <c r="G578" s="60">
        <f>IFERROR(__xludf.DUMMYFUNCTION("""COMPUTED_VALUE"""),3.45E8)</f>
        <v>345000000</v>
      </c>
      <c r="H578" s="60">
        <f>IFERROR(__xludf.DUMMYFUNCTION("""COMPUTED_VALUE"""),3.37065E8)</f>
        <v>337065000</v>
      </c>
      <c r="I578" s="66">
        <f>IFERROR(__xludf.DUMMYFUNCTION("""COMPUTED_VALUE"""),9.77)</f>
        <v>9.77</v>
      </c>
      <c r="J578" s="62">
        <f>IFERROR(__xludf.DUMMYFUNCTION("""COMPUTED_VALUE"""),-0.00306)</f>
        <v>-0.00306</v>
      </c>
      <c r="K578" s="59">
        <f>IFERROR(__xludf.DUMMYFUNCTION("""COMPUTED_VALUE"""),10.15)</f>
        <v>10.15</v>
      </c>
      <c r="L578" s="87">
        <f>IFERROR(__xludf.DUMMYFUNCTION("""COMPUTED_VALUE"""),0.8111)</f>
        <v>0.8111</v>
      </c>
      <c r="M578" s="64" t="str">
        <f>IFERROR(__xludf.DUMMYFUNCTION("""COMPUTED_VALUE"""),"U: [1/2 W]; W: [1:1, $11.5]")</f>
        <v>U: [1/2 W]; W: [1:1, $11.5]</v>
      </c>
      <c r="N578" s="65">
        <f>IFERROR(__xludf.DUMMYFUNCTION("""COMPUTED_VALUE"""),44253.0)</f>
        <v>44253</v>
      </c>
      <c r="O578" s="66">
        <f>IFERROR(__xludf.DUMMYFUNCTION("""COMPUTED_VALUE"""),0.0)</f>
        <v>0</v>
      </c>
      <c r="P578" s="67">
        <f>IFERROR(__xludf.DUMMYFUNCTION("""COMPUTED_VALUE"""),44202.0)</f>
        <v>44202</v>
      </c>
      <c r="Q578" s="68">
        <f>IFERROR(__xludf.DUMMYFUNCTION("""COMPUTED_VALUE"""),345.0)</f>
        <v>345</v>
      </c>
      <c r="R578" s="85" t="str">
        <f>IFERROR(__xludf.DUMMYFUNCTION("""COMPUTED_VALUE"""),"Citigroup, UBS")</f>
        <v>Citigroup, UBS</v>
      </c>
      <c r="S578" s="64">
        <f>IFERROR(__xludf.DUMMYFUNCTION("""COMPUTED_VALUE"""),44932.0)</f>
        <v>44932</v>
      </c>
      <c r="T578" s="70">
        <f>IFERROR(__xludf.DUMMYFUNCTION("""COMPUTED_VALUE"""),0.12876712328767123)</f>
        <v>0.1287671233</v>
      </c>
      <c r="U578" s="71" t="str">
        <f>IFERROR(__xludf.DUMMYFUNCTION("""COMPUTED_VALUE"""),"https://www.sec.gov/cgi-bin/browse-edgar?CIK=1826333")</f>
        <v>https://www.sec.gov/cgi-bin/browse-edgar?CIK=1826333</v>
      </c>
      <c r="V578" s="72" t="str">
        <f>IFERROR(__xludf.DUMMYFUNCTION("""COMPUTED_VALUE""")," Trading Below $10 (Common)          Top Tier UW ")</f>
        <v> Trading Below $10 (Common)          Top Tier UW </v>
      </c>
      <c r="W578" s="73"/>
      <c r="X578" s="74"/>
      <c r="Y578" s="75"/>
      <c r="Z578" s="60"/>
      <c r="AA578" s="60"/>
      <c r="AB578" s="60"/>
      <c r="AC578" s="60"/>
      <c r="AD578" s="73"/>
      <c r="AE578" s="73"/>
      <c r="AF578" s="76"/>
      <c r="AG578" s="60" t="str">
        <f>IFERROR(__xludf.DUMMYFUNCTION("""COMPUTED_VALUE"""),"")</f>
        <v/>
      </c>
    </row>
    <row r="579">
      <c r="A579" s="54" t="str">
        <f>IFERROR(__xludf.DUMMYFUNCTION("""COMPUTED_VALUE"""),"PRPB")</f>
        <v>PRPB</v>
      </c>
      <c r="B579" s="55" t="str">
        <f>IFERROR(__xludf.DUMMYFUNCTION("""COMPUTED_VALUE"""),"CC Neuberger Principal Holdings II")</f>
        <v>CC Neuberger Principal Holdings II</v>
      </c>
      <c r="C579" s="56" t="str">
        <f>IFERROR(__xludf.DUMMYFUNCTION("""COMPUTED_VALUE"""),"Searching")</f>
        <v>Searching</v>
      </c>
      <c r="D579" s="57"/>
      <c r="E579" s="58"/>
      <c r="F579" s="59" t="str">
        <f>IFERROR(__xludf.DUMMYFUNCTION("""COMPUTED_VALUE"""),"Chinh Chu (Founder/Managing Partner, CC Capital; Former Managing Director at Blackstone)
")</f>
        <v>Chinh Chu (Founder/Managing Partner, CC Capital; Former Managing Director at Blackstone)
</v>
      </c>
      <c r="G579" s="60">
        <f>IFERROR(__xludf.DUMMYFUNCTION("""COMPUTED_VALUE"""),8.28291565E8)</f>
        <v>828291565</v>
      </c>
      <c r="H579" s="60">
        <f>IFERROR(__xludf.DUMMYFUNCTION("""COMPUTED_VALUE"""),8.31312E8)</f>
        <v>831312000</v>
      </c>
      <c r="I579" s="66">
        <f>IFERROR(__xludf.DUMMYFUNCTION("""COMPUTED_VALUE"""),10.04)</f>
        <v>10.04</v>
      </c>
      <c r="J579" s="62">
        <f>IFERROR(__xludf.DUMMYFUNCTION("""COMPUTED_VALUE"""),0.001)</f>
        <v>0.001</v>
      </c>
      <c r="K579" s="59">
        <f>IFERROR(__xludf.DUMMYFUNCTION("""COMPUTED_VALUE"""),10.37)</f>
        <v>10.37</v>
      </c>
      <c r="L579" s="87">
        <f>IFERROR(__xludf.DUMMYFUNCTION("""COMPUTED_VALUE"""),1.34)</f>
        <v>1.34</v>
      </c>
      <c r="M579" s="64" t="str">
        <f>IFERROR(__xludf.DUMMYFUNCTION("""COMPUTED_VALUE"""),"U: [1/4 W]; W: [1:1, $11.5]")</f>
        <v>U: [1/4 W]; W: [1:1, $11.5]</v>
      </c>
      <c r="N579" s="65" t="str">
        <f>IFERROR(__xludf.DUMMYFUNCTION("""COMPUTED_VALUE"""),"")</f>
        <v/>
      </c>
      <c r="O579" s="66">
        <f>IFERROR(__xludf.DUMMYFUNCTION("""COMPUTED_VALUE"""),0.0)</f>
        <v>0</v>
      </c>
      <c r="P579" s="67">
        <f>IFERROR(__xludf.DUMMYFUNCTION("""COMPUTED_VALUE"""),44043.0)</f>
        <v>44043</v>
      </c>
      <c r="Q579" s="68">
        <f>IFERROR(__xludf.DUMMYFUNCTION("""COMPUTED_VALUE"""),828.0)</f>
        <v>828</v>
      </c>
      <c r="R579" s="69" t="str">
        <f>IFERROR(__xludf.DUMMYFUNCTION("""COMPUTED_VALUE"""),"Credit Suisse, Citigroup, Morgan Stanley")</f>
        <v>Credit Suisse, Citigroup, Morgan Stanley</v>
      </c>
      <c r="S579" s="64">
        <f>IFERROR(__xludf.DUMMYFUNCTION("""COMPUTED_VALUE"""),44773.0)</f>
        <v>44773</v>
      </c>
      <c r="T579" s="70">
        <f>IFERROR(__xludf.DUMMYFUNCTION("""COMPUTED_VALUE"""),0.34657534246575344)</f>
        <v>0.3465753425</v>
      </c>
      <c r="U579" s="71" t="str">
        <f>IFERROR(__xludf.DUMMYFUNCTION("""COMPUTED_VALUE"""),"https://www.sec.gov/cgi-bin/browse-edgar?CIK=1812667")</f>
        <v>https://www.sec.gov/cgi-bin/browse-edgar?CIK=1812667</v>
      </c>
      <c r="V579" s="72" t="str">
        <f>IFERROR(__xludf.DUMMYFUNCTION("""COMPUTED_VALUE"""),"   $500M+ Trust Optionable    Well-known Sponsor Serial Sponsor Top Tier UW ")</f>
        <v>   $500M+ Trust Optionable    Well-known Sponsor Serial Sponsor Top Tier UW </v>
      </c>
      <c r="W579" s="73"/>
      <c r="X579" s="74"/>
      <c r="Y579" s="75"/>
      <c r="Z579" s="60"/>
      <c r="AA579" s="60"/>
      <c r="AB579" s="60"/>
      <c r="AC579" s="60"/>
      <c r="AD579" s="73"/>
      <c r="AE579" s="73"/>
      <c r="AF579" s="76"/>
      <c r="AG579" s="60" t="str">
        <f>IFERROR(__xludf.DUMMYFUNCTION("""COMPUTED_VALUE"""),"")</f>
        <v/>
      </c>
    </row>
    <row r="580">
      <c r="A580" s="54" t="str">
        <f>IFERROR(__xludf.DUMMYFUNCTION("""COMPUTED_VALUE"""),"PRPC")</f>
        <v>PRPC</v>
      </c>
      <c r="B580" s="55" t="str">
        <f>IFERROR(__xludf.DUMMYFUNCTION("""COMPUTED_VALUE"""),"CC Neuberger Principal Holdings III")</f>
        <v>CC Neuberger Principal Holdings III</v>
      </c>
      <c r="C580" s="56" t="str">
        <f>IFERROR(__xludf.DUMMYFUNCTION("""COMPUTED_VALUE"""),"Searching")</f>
        <v>Searching</v>
      </c>
      <c r="D580" s="57"/>
      <c r="E580" s="58"/>
      <c r="F580" s="59" t="str">
        <f>IFERROR(__xludf.DUMMYFUNCTION("""COMPUTED_VALUE"""),"Chinh Chu (Founder/Managing Partner, CC Capital; Former Managing Director at Blackstone), Charles Kantor (Managing Director, Neuberger Berman)")</f>
        <v>Chinh Chu (Founder/Managing Partner, CC Capital; Former Managing Director at Blackstone), Charles Kantor (Managing Director, Neuberger Berman)</v>
      </c>
      <c r="G580" s="60">
        <f>IFERROR(__xludf.DUMMYFUNCTION("""COMPUTED_VALUE"""),3.5E8)</f>
        <v>350000000</v>
      </c>
      <c r="H580" s="60"/>
      <c r="I580" s="66">
        <f>IFERROR(__xludf.DUMMYFUNCTION("""COMPUTED_VALUE"""),9.8556)</f>
        <v>9.8556</v>
      </c>
      <c r="J580" s="62">
        <f>IFERROR(__xludf.DUMMYFUNCTION("""COMPUTED_VALUE"""),5.7E-4)</f>
        <v>0.00057</v>
      </c>
      <c r="K580" s="59">
        <f>IFERROR(__xludf.DUMMYFUNCTION("""COMPUTED_VALUE"""),10.06)</f>
        <v>10.06</v>
      </c>
      <c r="L580" s="87">
        <f>IFERROR(__xludf.DUMMYFUNCTION("""COMPUTED_VALUE"""),1.12)</f>
        <v>1.12</v>
      </c>
      <c r="M580" s="64" t="str">
        <f>IFERROR(__xludf.DUMMYFUNCTION("""COMPUTED_VALUE"""),"U: [1/5 W]; W: [1:1, $11.5]")</f>
        <v>U: [1/5 W]; W: [1:1, $11.5]</v>
      </c>
      <c r="N580" s="65" t="str">
        <f>IFERROR(__xludf.DUMMYFUNCTION("""COMPUTED_VALUE"""),"")</f>
        <v/>
      </c>
      <c r="O580" s="66">
        <f>IFERROR(__xludf.DUMMYFUNCTION("""COMPUTED_VALUE"""),0.0)</f>
        <v>0</v>
      </c>
      <c r="P580" s="67">
        <f>IFERROR(__xludf.DUMMYFUNCTION("""COMPUTED_VALUE"""),44229.0)</f>
        <v>44229</v>
      </c>
      <c r="Q580" s="68">
        <f>IFERROR(__xludf.DUMMYFUNCTION("""COMPUTED_VALUE"""),350.0)</f>
        <v>350</v>
      </c>
      <c r="R580" s="69" t="str">
        <f>IFERROR(__xludf.DUMMYFUNCTION("""COMPUTED_VALUE"""),"Citigroup, Evercore ISI")</f>
        <v>Citigroup, Evercore ISI</v>
      </c>
      <c r="S580" s="64">
        <f>IFERROR(__xludf.DUMMYFUNCTION("""COMPUTED_VALUE"""),44959.0)</f>
        <v>44959</v>
      </c>
      <c r="T580" s="70">
        <f>IFERROR(__xludf.DUMMYFUNCTION("""COMPUTED_VALUE"""),0.09178082191780822)</f>
        <v>0.09178082192</v>
      </c>
      <c r="U580" s="71" t="str">
        <f>IFERROR(__xludf.DUMMYFUNCTION("""COMPUTED_VALUE"""),"https://www.sec.gov/cgi-bin/browse-edgar?CIK=1821329")</f>
        <v>https://www.sec.gov/cgi-bin/browse-edgar?CIK=1821329</v>
      </c>
      <c r="V580" s="72" t="str">
        <f>IFERROR(__xludf.DUMMYFUNCTION("""COMPUTED_VALUE""")," Trading Below $10 (Common)        Well-known Sponsor Serial Sponsor Top Tier UW ")</f>
        <v> Trading Below $10 (Common)        Well-known Sponsor Serial Sponsor Top Tier UW </v>
      </c>
      <c r="W580" s="73"/>
      <c r="X580" s="74"/>
      <c r="Y580" s="75"/>
      <c r="Z580" s="60"/>
      <c r="AA580" s="60"/>
      <c r="AB580" s="60"/>
      <c r="AC580" s="60"/>
      <c r="AD580" s="73"/>
      <c r="AE580" s="73"/>
      <c r="AF580" s="76"/>
      <c r="AG580" s="60" t="str">
        <f>IFERROR(__xludf.DUMMYFUNCTION("""COMPUTED_VALUE"""),"")</f>
        <v/>
      </c>
    </row>
    <row r="581">
      <c r="A581" s="54" t="str">
        <f>IFERROR(__xludf.DUMMYFUNCTION("""COMPUTED_VALUE"""),"PRSR")</f>
        <v>PRSR</v>
      </c>
      <c r="B581" s="55" t="str">
        <f>IFERROR(__xludf.DUMMYFUNCTION("""COMPUTED_VALUE"""),"Prospector Capital Corp.")</f>
        <v>Prospector Capital Corp.</v>
      </c>
      <c r="C581" s="56" t="str">
        <f>IFERROR(__xludf.DUMMYFUNCTION("""COMPUTED_VALUE"""),"Searching")</f>
        <v>Searching</v>
      </c>
      <c r="D581" s="57" t="str">
        <f>IFERROR(__xludf.DUMMYFUNCTION("""COMPUTED_VALUE"""),"Advanced communications, applications and services Tech (such as 5G, machine learning, cloud/edge computing, AR/VR)")</f>
        <v>Advanced communications, applications and services Tech (such as 5G, machine learning, cloud/edge computing, AR/VR)</v>
      </c>
      <c r="E581" s="58"/>
      <c r="F581" s="59" t="str">
        <f>IFERROR(__xludf.DUMMYFUNCTION("""COMPUTED_VALUE"""),"Derek Aberle (Fmr Pres/COO, Qualcomm), Steve Altman (Fmr Pres/Vice Chairman, Qualcomm), ")</f>
        <v>Derek Aberle (Fmr Pres/COO, Qualcomm), Steve Altman (Fmr Pres/Vice Chairman, Qualcomm), </v>
      </c>
      <c r="G581" s="60">
        <f>IFERROR(__xludf.DUMMYFUNCTION("""COMPUTED_VALUE"""),3.25E8)</f>
        <v>325000000</v>
      </c>
      <c r="H581" s="60">
        <f>IFERROR(__xludf.DUMMYFUNCTION("""COMPUTED_VALUE"""),3.2045E8)</f>
        <v>320450000</v>
      </c>
      <c r="I581" s="66">
        <f>IFERROR(__xludf.DUMMYFUNCTION("""COMPUTED_VALUE"""),9.86)</f>
        <v>9.86</v>
      </c>
      <c r="J581" s="62">
        <f>IFERROR(__xludf.DUMMYFUNCTION("""COMPUTED_VALUE"""),0.00407)</f>
        <v>0.00407</v>
      </c>
      <c r="K581" s="59">
        <f>IFERROR(__xludf.DUMMYFUNCTION("""COMPUTED_VALUE"""),10.16)</f>
        <v>10.16</v>
      </c>
      <c r="L581" s="87">
        <f>IFERROR(__xludf.DUMMYFUNCTION("""COMPUTED_VALUE"""),1.02)</f>
        <v>1.02</v>
      </c>
      <c r="M581" s="64" t="str">
        <f>IFERROR(__xludf.DUMMYFUNCTION("""COMPUTED_VALUE"""),"U: [1/3 W]; W: [1:1, $11.5]")</f>
        <v>U: [1/3 W]; W: [1:1, $11.5]</v>
      </c>
      <c r="N581" s="65">
        <f>IFERROR(__xludf.DUMMYFUNCTION("""COMPUTED_VALUE"""),44256.0)</f>
        <v>44256</v>
      </c>
      <c r="O581" s="66">
        <f>IFERROR(__xludf.DUMMYFUNCTION("""COMPUTED_VALUE"""),0.0)</f>
        <v>0</v>
      </c>
      <c r="P581" s="67">
        <f>IFERROR(__xludf.DUMMYFUNCTION("""COMPUTED_VALUE"""),44203.0)</f>
        <v>44203</v>
      </c>
      <c r="Q581" s="68">
        <f>IFERROR(__xludf.DUMMYFUNCTION("""COMPUTED_VALUE"""),325.0)</f>
        <v>325</v>
      </c>
      <c r="R581" s="85" t="str">
        <f>IFERROR(__xludf.DUMMYFUNCTION("""COMPUTED_VALUE"""),"Goldman Sachs")</f>
        <v>Goldman Sachs</v>
      </c>
      <c r="S581" s="64">
        <f>IFERROR(__xludf.DUMMYFUNCTION("""COMPUTED_VALUE"""),44933.0)</f>
        <v>44933</v>
      </c>
      <c r="T581" s="70">
        <f>IFERROR(__xludf.DUMMYFUNCTION("""COMPUTED_VALUE"""),0.1273972602739726)</f>
        <v>0.1273972603</v>
      </c>
      <c r="U581" s="71" t="str">
        <f>IFERROR(__xludf.DUMMYFUNCTION("""COMPUTED_VALUE"""),"https://www.sec.gov/cgi-bin/browse-edgar?CIK=1825473")</f>
        <v>https://www.sec.gov/cgi-bin/browse-edgar?CIK=1825473</v>
      </c>
      <c r="V581" s="72" t="str">
        <f>IFERROR(__xludf.DUMMYFUNCTION("""COMPUTED_VALUE""")," Trading Below $10 (Common)          Top Tier UW ")</f>
        <v> Trading Below $10 (Common)          Top Tier UW </v>
      </c>
      <c r="W581" s="73"/>
      <c r="X581" s="74"/>
      <c r="Y581" s="75"/>
      <c r="Z581" s="60"/>
      <c r="AA581" s="60"/>
      <c r="AB581" s="60"/>
      <c r="AC581" s="60"/>
      <c r="AD581" s="73"/>
      <c r="AE581" s="73"/>
      <c r="AF581" s="76"/>
      <c r="AG581" s="60" t="str">
        <f>IFERROR(__xludf.DUMMYFUNCTION("""COMPUTED_VALUE"""),"")</f>
        <v/>
      </c>
    </row>
    <row r="582">
      <c r="A582" s="54" t="str">
        <f>IFERROR(__xludf.DUMMYFUNCTION("""COMPUTED_VALUE"""),"PSAC")</f>
        <v>PSAC</v>
      </c>
      <c r="B582" s="55" t="str">
        <f>IFERROR(__xludf.DUMMYFUNCTION("""COMPUTED_VALUE"""),"Property Solutions Acquisition")</f>
        <v>Property Solutions Acquisition</v>
      </c>
      <c r="C582" s="56" t="str">
        <f>IFERROR(__xludf.DUMMYFUNCTION("""COMPUTED_VALUE"""),"Definitive Agreement")</f>
        <v>Definitive Agreement</v>
      </c>
      <c r="D582" s="57" t="str">
        <f>IFERROR(__xludf.DUMMYFUNCTION("""COMPUTED_VALUE"""),"PropTech, Real Estate")</f>
        <v>PropTech, Real Estate</v>
      </c>
      <c r="E582" s="58" t="str">
        <f>IFERROR(__xludf.DUMMYFUNCTION("""COMPUTED_VALUE"""),"Faraday Future [DA: 01/28/21]")</f>
        <v>Faraday Future [DA: 01/28/21]</v>
      </c>
      <c r="F582" s="59"/>
      <c r="G582" s="60">
        <f>IFERROR(__xludf.DUMMYFUNCTION("""COMPUTED_VALUE"""),2.29815512E8)</f>
        <v>229815512</v>
      </c>
      <c r="H582" s="60">
        <f>IFERROR(__xludf.DUMMYFUNCTION("""COMPUTED_VALUE"""),4.424525E8)</f>
        <v>442452500</v>
      </c>
      <c r="I582" s="66">
        <f>IFERROR(__xludf.DUMMYFUNCTION("""COMPUTED_VALUE"""),14.99)</f>
        <v>14.99</v>
      </c>
      <c r="J582" s="62">
        <f>IFERROR(__xludf.DUMMYFUNCTION("""COMPUTED_VALUE"""),0.00875)</f>
        <v>0.00875</v>
      </c>
      <c r="K582" s="59">
        <f>IFERROR(__xludf.DUMMYFUNCTION("""COMPUTED_VALUE"""),17.82)</f>
        <v>17.82</v>
      </c>
      <c r="L582" s="87">
        <f>IFERROR(__xludf.DUMMYFUNCTION("""COMPUTED_VALUE"""),3.48)</f>
        <v>3.48</v>
      </c>
      <c r="M582" s="64" t="str">
        <f>IFERROR(__xludf.DUMMYFUNCTION("""COMPUTED_VALUE"""),"U: [1 W]; W: [1:1, $11.5]")</f>
        <v>U: [1 W]; W: [1:1, $11.5]</v>
      </c>
      <c r="N582" s="65" t="str">
        <f>IFERROR(__xludf.DUMMYFUNCTION("""COMPUTED_VALUE"""),"")</f>
        <v/>
      </c>
      <c r="O582" s="66">
        <f>IFERROR(__xludf.DUMMYFUNCTION("""COMPUTED_VALUE"""),3.49)</f>
        <v>3.49</v>
      </c>
      <c r="P582" s="67">
        <f>IFERROR(__xludf.DUMMYFUNCTION("""COMPUTED_VALUE"""),44034.0)</f>
        <v>44034</v>
      </c>
      <c r="Q582" s="68">
        <f>IFERROR(__xludf.DUMMYFUNCTION("""COMPUTED_VALUE"""),229.77568)</f>
        <v>229.77568</v>
      </c>
      <c r="R582" s="85" t="str">
        <f>IFERROR(__xludf.DUMMYFUNCTION("""COMPUTED_VALUE"""),"EarlyBirdCapital")</f>
        <v>EarlyBirdCapital</v>
      </c>
      <c r="S582" s="64">
        <f>IFERROR(__xludf.DUMMYFUNCTION("""COMPUTED_VALUE"""),44672.75)</f>
        <v>44672.75</v>
      </c>
      <c r="T582" s="70">
        <f>IFERROR(__xludf.DUMMYFUNCTION("""COMPUTED_VALUE"""),0.4101761252446184)</f>
        <v>0.4101761252</v>
      </c>
      <c r="U582" s="71" t="str">
        <f>IFERROR(__xludf.DUMMYFUNCTION("""COMPUTED_VALUE"""),"https://www.sec.gov/cgi-bin/browse-edgar?CIK=1805521")</f>
        <v>https://www.sec.gov/cgi-bin/browse-edgar?CIK=1805521</v>
      </c>
      <c r="V582" s="72" t="str">
        <f>IFERROR(__xludf.DUMMYFUNCTION("""COMPUTED_VALUE"""),"Sustainability, E.V.     Optionable       ")</f>
        <v>Sustainability, E.V.     Optionable       </v>
      </c>
      <c r="W582" s="73">
        <f>IFERROR(__xludf.DUMMYFUNCTION("""COMPUTED_VALUE"""),44224.0)</f>
        <v>44224</v>
      </c>
      <c r="X582" s="79">
        <f>IFERROR(__xludf.DUMMYFUNCTION("""COMPUTED_VALUE"""),6.333333333333333)</f>
        <v>6.333333333</v>
      </c>
      <c r="Y582" s="80" t="str">
        <f>IFERROR(__xludf.DUMMYFUNCTION("""COMPUTED_VALUE"""),"https://www.businesswire.com/news/home/20210128005488/en/Faraday-Future-to-List-on-NASDAQ-Through-Merger-With-Property-Solutions-Acquisition-Corp.-With-Estimated-1-Billion-in-Proceeds/?feedref=JjAwJuNHiystnCoBq_hl-YP0UCfaTS5iGFCz-Ed_Uxqqcp-o_pnudlUwsb5apQ"&amp;"1S4gUE65BTfjH3-pSuqdv0gW3cb3F4oTIgUqCPafFkgu7j7dd_xWveGuB-FIaWwfcR")</f>
        <v>https://www.businesswire.com/news/home/20210128005488/en/Faraday-Future-to-List-on-NASDAQ-Through-Merger-With-Property-Solutions-Acquisition-Corp.-With-Estimated-1-Billion-in-Proceeds/?feedref=JjAwJuNHiystnCoBq_hl-YP0UCfaTS5iGFCz-Ed_Uxqqcp-o_pnudlUwsb5apQ1S4gUE65BTfjH3-pSuqdv0gW3cb3F4oTIgUqCPafFkgu7j7dd_xWveGuB-FIaWwfcR</v>
      </c>
      <c r="Z582" s="81" t="str">
        <f>IFERROR(__xludf.DUMMYFUNCTION("""COMPUTED_VALUE"""),"https://www.sec.gov/Archives/edgar/data/1805521/000121390021004766/ea134038ex99-2_property.htm")</f>
        <v>https://www.sec.gov/Archives/edgar/data/1805521/000121390021004766/ea134038ex99-2_property.htm</v>
      </c>
      <c r="AA582" s="60">
        <f>IFERROR(__xludf.DUMMYFUNCTION("""COMPUTED_VALUE"""),7.75E8)</f>
        <v>775000000</v>
      </c>
      <c r="AB582" s="60">
        <f>IFERROR(__xludf.DUMMYFUNCTION("""COMPUTED_VALUE"""),3.37E9)</f>
        <v>3370000000</v>
      </c>
      <c r="AC582" s="60">
        <f>IFERROR(__xludf.DUMMYFUNCTION("""COMPUTED_VALUE"""),2.622E9)</f>
        <v>2622000000</v>
      </c>
      <c r="AD582" s="73"/>
      <c r="AE582" s="73"/>
      <c r="AF582" s="76">
        <f>IFERROR(__xludf.DUMMYFUNCTION("""COMPUTED_VALUE"""),3.37E8)</f>
        <v>337000000</v>
      </c>
      <c r="AG582" s="60">
        <f>IFERROR(__xludf.DUMMYFUNCTION("""COMPUTED_VALUE"""),5.05163E9)</f>
        <v>5051630000</v>
      </c>
    </row>
    <row r="583">
      <c r="A583" s="88" t="str">
        <f>IFERROR(__xludf.DUMMYFUNCTION("""COMPUTED_VALUE"""),"PSAG")</f>
        <v>PSAG</v>
      </c>
      <c r="B583" s="55" t="str">
        <f>IFERROR(__xludf.DUMMYFUNCTION("""COMPUTED_VALUE"""),"Property Solutions Acquisition Corp. II")</f>
        <v>Property Solutions Acquisition Corp. II</v>
      </c>
      <c r="C583" s="56" t="str">
        <f>IFERROR(__xludf.DUMMYFUNCTION("""COMPUTED_VALUE"""),"Searching (Pre Unit Split)")</f>
        <v>Searching (Pre Unit Split)</v>
      </c>
      <c r="D583" s="57" t="str">
        <f>IFERROR(__xludf.DUMMYFUNCTION("""COMPUTED_VALUE"""),"PropTech, Real Estate")</f>
        <v>PropTech, Real Estate</v>
      </c>
      <c r="E583" s="58"/>
      <c r="F583" s="59"/>
      <c r="G583" s="60">
        <f>IFERROR(__xludf.DUMMYFUNCTION("""COMPUTED_VALUE"""),3.0E8)</f>
        <v>300000000</v>
      </c>
      <c r="H583" s="60" t="str">
        <f>IFERROR(__xludf.DUMMYFUNCTION("""COMPUTED_VALUE""")," ")</f>
        <v> </v>
      </c>
      <c r="I583" s="66" t="str">
        <f>IFERROR(__xludf.DUMMYFUNCTION("""COMPUTED_VALUE""")," ")</f>
        <v> </v>
      </c>
      <c r="J583" s="62" t="str">
        <f>IFERROR(__xludf.DUMMYFUNCTION("""COMPUTED_VALUE""")," ")</f>
        <v> </v>
      </c>
      <c r="K583" s="59">
        <f>IFERROR(__xludf.DUMMYFUNCTION("""COMPUTED_VALUE"""),10.0)</f>
        <v>10</v>
      </c>
      <c r="L583" s="87">
        <f>IFERROR(__xludf.DUMMYFUNCTION("""COMPUTED_VALUE"""),1.5)</f>
        <v>1.5</v>
      </c>
      <c r="M583" s="64" t="str">
        <f>IFERROR(__xludf.DUMMYFUNCTION("""COMPUTED_VALUE"""),"U: [1/3 W]; W: [1:1, $11.5]")</f>
        <v>U: [1/3 W]; W: [1:1, $11.5]</v>
      </c>
      <c r="N583" s="65">
        <f>IFERROR(__xludf.DUMMYFUNCTION("""COMPUTED_VALUE"""),44295.0)</f>
        <v>44295</v>
      </c>
      <c r="O583" s="66" t="str">
        <f>IFERROR(__xludf.DUMMYFUNCTION("""COMPUTED_VALUE"""),"")</f>
        <v/>
      </c>
      <c r="P583" s="67">
        <f>IFERROR(__xludf.DUMMYFUNCTION("""COMPUTED_VALUE"""),44258.0)</f>
        <v>44258</v>
      </c>
      <c r="Q583" s="68">
        <f>IFERROR(__xludf.DUMMYFUNCTION("""COMPUTED_VALUE"""),300.0)</f>
        <v>300</v>
      </c>
      <c r="R583" s="69" t="str">
        <f>IFERROR(__xludf.DUMMYFUNCTION("""COMPUTED_VALUE"""),"EarlyBirdCapital, Inc.")</f>
        <v>EarlyBirdCapital, Inc.</v>
      </c>
      <c r="S583" s="64">
        <f>IFERROR(__xludf.DUMMYFUNCTION("""COMPUTED_VALUE"""),44988.0)</f>
        <v>44988</v>
      </c>
      <c r="T583" s="70">
        <f>IFERROR(__xludf.DUMMYFUNCTION("""COMPUTED_VALUE"""),0.052054794520547946)</f>
        <v>0.05205479452</v>
      </c>
      <c r="U583" s="71" t="str">
        <f>IFERROR(__xludf.DUMMYFUNCTION("""COMPUTED_VALUE"""),"https://www.sec.gov/cgi-bin/browse-edgar?CIK=1833235")</f>
        <v>https://www.sec.gov/cgi-bin/browse-edgar?CIK=1833235</v>
      </c>
      <c r="V583" s="72" t="str">
        <f>IFERROR(__xludf.DUMMYFUNCTION("""COMPUTED_VALUE"""),"            ")</f>
        <v>            </v>
      </c>
      <c r="W583" s="73"/>
      <c r="X583" s="74"/>
      <c r="Y583" s="75"/>
      <c r="Z583" s="60"/>
      <c r="AA583" s="60"/>
      <c r="AB583" s="60"/>
      <c r="AC583" s="60"/>
      <c r="AD583" s="73"/>
      <c r="AE583" s="73"/>
      <c r="AF583" s="76"/>
      <c r="AG583" s="60"/>
    </row>
    <row r="584">
      <c r="A584" s="88" t="str">
        <f>IFERROR(__xludf.DUMMYFUNCTION("""COMPUTED_VALUE"""),"PSPC")</f>
        <v>PSPC</v>
      </c>
      <c r="B584" s="55" t="str">
        <f>IFERROR(__xludf.DUMMYFUNCTION("""COMPUTED_VALUE"""),"Post Holdings Partnering Corp")</f>
        <v>Post Holdings Partnering Corp</v>
      </c>
      <c r="C584" s="56" t="str">
        <f>IFERROR(__xludf.DUMMYFUNCTION("""COMPUTED_VALUE"""),"Pre IPO")</f>
        <v>Pre IPO</v>
      </c>
      <c r="D584" s="57" t="str">
        <f>IFERROR(__xludf.DUMMYFUNCTION("""COMPUTED_VALUE"""),"Consumer Packaged Goods (CPG)")</f>
        <v>Consumer Packaged Goods (CPG)</v>
      </c>
      <c r="E584" s="58"/>
      <c r="F584" s="59"/>
      <c r="G584" s="60">
        <f>IFERROR(__xludf.DUMMYFUNCTION("""COMPUTED_VALUE"""),3.0E8)</f>
        <v>300000000</v>
      </c>
      <c r="H584" s="60" t="str">
        <f>IFERROR(__xludf.DUMMYFUNCTION("""COMPUTED_VALUE""")," ")</f>
        <v> </v>
      </c>
      <c r="I584" s="66" t="str">
        <f>IFERROR(__xludf.DUMMYFUNCTION("""COMPUTED_VALUE""")," ")</f>
        <v> </v>
      </c>
      <c r="J584" s="62" t="str">
        <f>IFERROR(__xludf.DUMMYFUNCTION("""COMPUTED_VALUE""")," ")</f>
        <v> </v>
      </c>
      <c r="K584" s="59" t="str">
        <f>IFERROR(__xludf.DUMMYFUNCTION("""COMPUTED_VALUE""")," ")</f>
        <v> </v>
      </c>
      <c r="L584" s="87" t="str">
        <f>IFERROR(__xludf.DUMMYFUNCTION("""COMPUTED_VALUE""")," ")</f>
        <v> </v>
      </c>
      <c r="M584" s="64" t="str">
        <f>IFERROR(__xludf.DUMMYFUNCTION("""COMPUTED_VALUE"""),"U: [1/3 W]; W: [1:1, $11.5]")</f>
        <v>U: [1/3 W]; W: [1:1, $11.5]</v>
      </c>
      <c r="N584" s="65" t="str">
        <f>IFERROR(__xludf.DUMMYFUNCTION("""COMPUTED_VALUE"""),"")</f>
        <v/>
      </c>
      <c r="O584" s="66" t="str">
        <f>IFERROR(__xludf.DUMMYFUNCTION("""COMPUTED_VALUE"""),"")</f>
        <v/>
      </c>
      <c r="P584" s="67"/>
      <c r="Q584" s="68">
        <f>IFERROR(__xludf.DUMMYFUNCTION("""COMPUTED_VALUE"""),300.0)</f>
        <v>300</v>
      </c>
      <c r="R584" s="69" t="str">
        <f>IFERROR(__xludf.DUMMYFUNCTION("""COMPUTED_VALUE"""),"Evercore ISI, Barclays")</f>
        <v>Evercore ISI, Barclays</v>
      </c>
      <c r="S584" s="64">
        <f>IFERROR(__xludf.DUMMYFUNCTION("""COMPUTED_VALUE"""),45086.0)</f>
        <v>45086</v>
      </c>
      <c r="T584" s="70" t="str">
        <f>IFERROR(__xludf.DUMMYFUNCTION("""COMPUTED_VALUE"""),"")</f>
        <v/>
      </c>
      <c r="U584" s="71" t="str">
        <f>IFERROR(__xludf.DUMMYFUNCTION("""COMPUTED_VALUE"""),"https://www.sec.gov/cgi-bin/browse-edgar?CIK=1843716")</f>
        <v>https://www.sec.gov/cgi-bin/browse-edgar?CIK=1843716</v>
      </c>
      <c r="V584" s="72" t="str">
        <f>IFERROR(__xludf.DUMMYFUNCTION("""COMPUTED_VALUE"""),"            ")</f>
        <v>            </v>
      </c>
      <c r="W584" s="73"/>
      <c r="X584" s="74"/>
      <c r="Y584" s="75"/>
      <c r="Z584" s="60"/>
      <c r="AA584" s="60"/>
      <c r="AB584" s="60"/>
      <c r="AC584" s="60"/>
      <c r="AD584" s="73"/>
      <c r="AE584" s="73"/>
      <c r="AF584" s="76"/>
      <c r="AG584" s="60"/>
    </row>
    <row r="585">
      <c r="A585" s="54" t="str">
        <f>IFERROR(__xludf.DUMMYFUNCTION("""COMPUTED_VALUE"""),"PSTH")</f>
        <v>PSTH</v>
      </c>
      <c r="B585" s="55" t="str">
        <f>IFERROR(__xludf.DUMMYFUNCTION("""COMPUTED_VALUE"""),"Pershing Square Tontine Holdings")</f>
        <v>Pershing Square Tontine Holdings</v>
      </c>
      <c r="C585" s="56" t="str">
        <f>IFERROR(__xludf.DUMMYFUNCTION("""COMPUTED_VALUE"""),"Searching")</f>
        <v>Searching</v>
      </c>
      <c r="D585" s="89" t="str">
        <f>IFERROR(__xludf.DUMMYFUNCTION("""COMPUTED_VALUE"""),"https://images.unsplash.com/photo-1562037283-072818fb6d8f?ixlib=rb-1.2.1&amp;ixid=eyJhcHBfaWQiOjEyMDd9&amp;auto=format&amp;fit=crop&amp;w=1087&amp;q=80")</f>
        <v>https://images.unsplash.com/photo-1562037283-072818fb6d8f?ixlib=rb-1.2.1&amp;ixid=eyJhcHBfaWQiOjEyMDd9&amp;auto=format&amp;fit=crop&amp;w=1087&amp;q=80</v>
      </c>
      <c r="E585" s="58"/>
      <c r="F585" s="59" t="str">
        <f>IFERROR(__xludf.DUMMYFUNCTION("""COMPUTED_VALUE"""),"Bill Ackman (Founder/ CEO of Pershing Square)")</f>
        <v>Bill Ackman (Founder/ CEO of Pershing Square)</v>
      </c>
      <c r="G585" s="60">
        <f>IFERROR(__xludf.DUMMYFUNCTION("""COMPUTED_VALUE"""),4.000792654E9)</f>
        <v>4000792654</v>
      </c>
      <c r="H585" s="60">
        <f>IFERROR(__xludf.DUMMYFUNCTION("""COMPUTED_VALUE"""),5.072E9)</f>
        <v>5072000000</v>
      </c>
      <c r="I585" s="66">
        <f>IFERROR(__xludf.DUMMYFUNCTION("""COMPUTED_VALUE"""),25.36)</f>
        <v>25.36</v>
      </c>
      <c r="J585" s="62">
        <f>IFERROR(__xludf.DUMMYFUNCTION("""COMPUTED_VALUE"""),7.9E-4)</f>
        <v>0.00079</v>
      </c>
      <c r="K585" s="59" t="str">
        <f>IFERROR(__xludf.DUMMYFUNCTION("""COMPUTED_VALUE""")," ")</f>
        <v> </v>
      </c>
      <c r="L585" s="87">
        <f>IFERROR(__xludf.DUMMYFUNCTION("""COMPUTED_VALUE"""),9.35)</f>
        <v>9.35</v>
      </c>
      <c r="M585" s="64" t="str">
        <f>IFERROR(__xludf.DUMMYFUNCTION("""COMPUTED_VALUE"""),"U: [1/9 W]; W: [1:1, $23]")</f>
        <v>U: [1/9 W]; W: [1:1, $23]</v>
      </c>
      <c r="N585" s="65" t="str">
        <f>IFERROR(__xludf.DUMMYFUNCTION("""COMPUTED_VALUE"""),"")</f>
        <v/>
      </c>
      <c r="O585" s="66">
        <f>IFERROR(__xludf.DUMMYFUNCTION("""COMPUTED_VALUE"""),2.3599999999999994)</f>
        <v>2.36</v>
      </c>
      <c r="P585" s="67">
        <f>IFERROR(__xludf.DUMMYFUNCTION("""COMPUTED_VALUE"""),44034.0)</f>
        <v>44034</v>
      </c>
      <c r="Q585" s="68">
        <f>IFERROR(__xludf.DUMMYFUNCTION("""COMPUTED_VALUE"""),4000.0)</f>
        <v>4000</v>
      </c>
      <c r="R585" s="85" t="str">
        <f>IFERROR(__xludf.DUMMYFUNCTION("""COMPUTED_VALUE"""),"Citigroup, Jefferies, UBS")</f>
        <v>Citigroup, Jefferies, UBS</v>
      </c>
      <c r="S585" s="64">
        <f>IFERROR(__xludf.DUMMYFUNCTION("""COMPUTED_VALUE"""),44764.0)</f>
        <v>44764</v>
      </c>
      <c r="T585" s="70">
        <f>IFERROR(__xludf.DUMMYFUNCTION("""COMPUTED_VALUE"""),0.3589041095890411)</f>
        <v>0.3589041096</v>
      </c>
      <c r="U585" s="71" t="str">
        <f>IFERROR(__xludf.DUMMYFUNCTION("""COMPUTED_VALUE"""),"https://www.sec.gov/cgi-bin/browse-edgar?CIK=1811882")</f>
        <v>https://www.sec.gov/cgi-bin/browse-edgar?CIK=1811882</v>
      </c>
      <c r="V585" s="72" t="str">
        <f>IFERROR(__xludf.DUMMYFUNCTION("""COMPUTED_VALUE"""),"   $500M+ Trust Optionable    Well-known Sponsor  Top Tier UW ")</f>
        <v>   $500M+ Trust Optionable    Well-known Sponsor  Top Tier UW </v>
      </c>
      <c r="W585" s="73"/>
      <c r="X585" s="74"/>
      <c r="Y585" s="75"/>
      <c r="Z585" s="60"/>
      <c r="AA585" s="60"/>
      <c r="AB585" s="60"/>
      <c r="AC585" s="60"/>
      <c r="AD585" s="73"/>
      <c r="AE585" s="73"/>
      <c r="AF585" s="76"/>
      <c r="AG585" s="60" t="str">
        <f>IFERROR(__xludf.DUMMYFUNCTION("""COMPUTED_VALUE"""),"")</f>
        <v/>
      </c>
    </row>
    <row r="586">
      <c r="A586" s="54" t="str">
        <f>IFERROR(__xludf.DUMMYFUNCTION("""COMPUTED_VALUE"""),"PTIC")</f>
        <v>PTIC</v>
      </c>
      <c r="B586" s="55" t="str">
        <f>IFERROR(__xludf.DUMMYFUNCTION("""COMPUTED_VALUE"""),"PropTech Investment Corporation II")</f>
        <v>PropTech Investment Corporation II</v>
      </c>
      <c r="C586" s="56" t="str">
        <f>IFERROR(__xludf.DUMMYFUNCTION("""COMPUTED_VALUE"""),"Searching")</f>
        <v>Searching</v>
      </c>
      <c r="D586" s="57" t="str">
        <f>IFERROR(__xludf.DUMMYFUNCTION("""COMPUTED_VALUE"""),"PropTech ")</f>
        <v>PropTech </v>
      </c>
      <c r="E586" s="58"/>
      <c r="F586" s="59" t="str">
        <f>IFERROR(__xludf.DUMMYFUNCTION("""COMPUTED_VALUE"""),"Thomas Hennessy, Advisor: Daniel Hennessy")</f>
        <v>Thomas Hennessy, Advisor: Daniel Hennessy</v>
      </c>
      <c r="G586" s="60">
        <f>IFERROR(__xludf.DUMMYFUNCTION("""COMPUTED_VALUE"""),2.30007668E8)</f>
        <v>230007668</v>
      </c>
      <c r="H586" s="60">
        <f>IFERROR(__xludf.DUMMYFUNCTION("""COMPUTED_VALUE"""),2.2563E8)</f>
        <v>225630000</v>
      </c>
      <c r="I586" s="66">
        <f>IFERROR(__xludf.DUMMYFUNCTION("""COMPUTED_VALUE"""),9.81)</f>
        <v>9.81</v>
      </c>
      <c r="J586" s="62">
        <f>IFERROR(__xludf.DUMMYFUNCTION("""COMPUTED_VALUE"""),0.00102)</f>
        <v>0.00102</v>
      </c>
      <c r="K586" s="59">
        <f>IFERROR(__xludf.DUMMYFUNCTION("""COMPUTED_VALUE"""),10.22)</f>
        <v>10.22</v>
      </c>
      <c r="L586" s="87">
        <f>IFERROR(__xludf.DUMMYFUNCTION("""COMPUTED_VALUE"""),0.9)</f>
        <v>0.9</v>
      </c>
      <c r="M586" s="64" t="str">
        <f>IFERROR(__xludf.DUMMYFUNCTION("""COMPUTED_VALUE"""),"U: [1/3 W]; W: [1:1, $11.5]")</f>
        <v>U: [1/3 W]; W: [1:1, $11.5]</v>
      </c>
      <c r="N586" s="65" t="str">
        <f>IFERROR(__xludf.DUMMYFUNCTION("""COMPUTED_VALUE"""),"")</f>
        <v/>
      </c>
      <c r="O586" s="66">
        <f>IFERROR(__xludf.DUMMYFUNCTION("""COMPUTED_VALUE"""),0.0)</f>
        <v>0</v>
      </c>
      <c r="P586" s="67">
        <f>IFERROR(__xludf.DUMMYFUNCTION("""COMPUTED_VALUE"""),44169.0)</f>
        <v>44169</v>
      </c>
      <c r="Q586" s="68">
        <f>IFERROR(__xludf.DUMMYFUNCTION("""COMPUTED_VALUE"""),230.0)</f>
        <v>230</v>
      </c>
      <c r="R586" s="69" t="str">
        <f>IFERROR(__xludf.DUMMYFUNCTION("""COMPUTED_VALUE"""),"Cantor, Northland Capital Markets")</f>
        <v>Cantor, Northland Capital Markets</v>
      </c>
      <c r="S586" s="64">
        <f>IFERROR(__xludf.DUMMYFUNCTION("""COMPUTED_VALUE"""),44899.0)</f>
        <v>44899</v>
      </c>
      <c r="T586" s="70">
        <f>IFERROR(__xludf.DUMMYFUNCTION("""COMPUTED_VALUE"""),0.17397260273972603)</f>
        <v>0.1739726027</v>
      </c>
      <c r="U586" s="71" t="str">
        <f>IFERROR(__xludf.DUMMYFUNCTION("""COMPUTED_VALUE"""),"https://www.sec.gov/cgi-bin/browse-edgar?CIK=1821075")</f>
        <v>https://www.sec.gov/cgi-bin/browse-edgar?CIK=1821075</v>
      </c>
      <c r="V586" s="72" t="str">
        <f>IFERROR(__xludf.DUMMYFUNCTION("""COMPUTED_VALUE""")," Trading Below $10 (Common)           ")</f>
        <v> Trading Below $10 (Common)           </v>
      </c>
      <c r="W586" s="73"/>
      <c r="X586" s="74"/>
      <c r="Y586" s="75"/>
      <c r="Z586" s="60"/>
      <c r="AA586" s="60"/>
      <c r="AB586" s="60"/>
      <c r="AC586" s="60"/>
      <c r="AD586" s="73"/>
      <c r="AE586" s="73"/>
      <c r="AF586" s="76"/>
      <c r="AG586" s="60" t="str">
        <f>IFERROR(__xludf.DUMMYFUNCTION("""COMPUTED_VALUE"""),"")</f>
        <v/>
      </c>
    </row>
    <row r="587">
      <c r="A587" s="54" t="str">
        <f>IFERROR(__xludf.DUMMYFUNCTION("""COMPUTED_VALUE"""),"PTK")</f>
        <v>PTK</v>
      </c>
      <c r="B587" s="55" t="str">
        <f>IFERROR(__xludf.DUMMYFUNCTION("""COMPUTED_VALUE"""),"PTK Acquisition")</f>
        <v>PTK Acquisition</v>
      </c>
      <c r="C587" s="56" t="str">
        <f>IFERROR(__xludf.DUMMYFUNCTION("""COMPUTED_VALUE"""),"Searching")</f>
        <v>Searching</v>
      </c>
      <c r="D587" s="57" t="str">
        <f>IFERROR(__xludf.DUMMYFUNCTION("""COMPUTED_VALUE"""),"Tech")</f>
        <v>Tech</v>
      </c>
      <c r="E587" s="58"/>
      <c r="F587" s="59"/>
      <c r="G587" s="60">
        <f>IFERROR(__xludf.DUMMYFUNCTION("""COMPUTED_VALUE"""),1.15E8)</f>
        <v>115000000</v>
      </c>
      <c r="H587" s="60">
        <f>IFERROR(__xludf.DUMMYFUNCTION("""COMPUTED_VALUE"""),1.428875E8)</f>
        <v>142887500</v>
      </c>
      <c r="I587" s="66">
        <f>IFERROR(__xludf.DUMMYFUNCTION("""COMPUTED_VALUE"""),9.94)</f>
        <v>9.94</v>
      </c>
      <c r="J587" s="62">
        <f>IFERROR(__xludf.DUMMYFUNCTION("""COMPUTED_VALUE"""),0.00709)</f>
        <v>0.00709</v>
      </c>
      <c r="K587" s="59">
        <f>IFERROR(__xludf.DUMMYFUNCTION("""COMPUTED_VALUE"""),10.3993)</f>
        <v>10.3993</v>
      </c>
      <c r="L587" s="87">
        <f>IFERROR(__xludf.DUMMYFUNCTION("""COMPUTED_VALUE"""),0.5605)</f>
        <v>0.5605</v>
      </c>
      <c r="M587" s="64" t="str">
        <f>IFERROR(__xludf.DUMMYFUNCTION("""COMPUTED_VALUE"""),"U: [1 W]; W: [2:1, $11.5]")</f>
        <v>U: [1 W]; W: [2:1, $11.5]</v>
      </c>
      <c r="N587" s="65" t="str">
        <f>IFERROR(__xludf.DUMMYFUNCTION("""COMPUTED_VALUE"""),"")</f>
        <v/>
      </c>
      <c r="O587" s="66">
        <f>IFERROR(__xludf.DUMMYFUNCTION("""COMPUTED_VALUE"""),0.0)</f>
        <v>0</v>
      </c>
      <c r="P587" s="67">
        <f>IFERROR(__xludf.DUMMYFUNCTION("""COMPUTED_VALUE"""),44025.0)</f>
        <v>44025</v>
      </c>
      <c r="Q587" s="68">
        <f>IFERROR(__xludf.DUMMYFUNCTION("""COMPUTED_VALUE"""),115.0)</f>
        <v>115</v>
      </c>
      <c r="R587" s="69" t="str">
        <f>IFERROR(__xludf.DUMMYFUNCTION("""COMPUTED_VALUE"""),"Chardan")</f>
        <v>Chardan</v>
      </c>
      <c r="S587" s="64">
        <f>IFERROR(__xludf.DUMMYFUNCTION("""COMPUTED_VALUE"""),44572.5)</f>
        <v>44572.5</v>
      </c>
      <c r="T587" s="70">
        <f>IFERROR(__xludf.DUMMYFUNCTION("""COMPUTED_VALUE"""),0.4949771689497717)</f>
        <v>0.4949771689</v>
      </c>
      <c r="U587" s="71" t="str">
        <f>IFERROR(__xludf.DUMMYFUNCTION("""COMPUTED_VALUE"""),"https://www.sec.gov/cgi-bin/browse-edgar?CIK=1797099")</f>
        <v>https://www.sec.gov/cgi-bin/browse-edgar?CIK=1797099</v>
      </c>
      <c r="V587" s="72" t="str">
        <f>IFERROR(__xludf.DUMMYFUNCTION("""COMPUTED_VALUE""")," Trading Below $10 (Common)           ")</f>
        <v> Trading Below $10 (Common)           </v>
      </c>
      <c r="W587" s="73"/>
      <c r="X587" s="74"/>
      <c r="Y587" s="75"/>
      <c r="Z587" s="60"/>
      <c r="AA587" s="60"/>
      <c r="AB587" s="60"/>
      <c r="AC587" s="60"/>
      <c r="AD587" s="73"/>
      <c r="AE587" s="73"/>
      <c r="AF587" s="76"/>
      <c r="AG587" s="60" t="str">
        <f>IFERROR(__xludf.DUMMYFUNCTION("""COMPUTED_VALUE"""),"")</f>
        <v/>
      </c>
    </row>
    <row r="588">
      <c r="A588" s="88" t="str">
        <f>IFERROR(__xludf.DUMMYFUNCTION("""COMPUTED_VALUE"""),"PTOC")</f>
        <v>PTOC</v>
      </c>
      <c r="B588" s="55" t="str">
        <f>IFERROR(__xludf.DUMMYFUNCTION("""COMPUTED_VALUE"""),"Pine Technology Acquisition Corp.")</f>
        <v>Pine Technology Acquisition Corp.</v>
      </c>
      <c r="C588" s="56" t="str">
        <f>IFERROR(__xludf.DUMMYFUNCTION("""COMPUTED_VALUE"""),"Searching (Pre Unit Split)")</f>
        <v>Searching (Pre Unit Split)</v>
      </c>
      <c r="D588" s="77" t="str">
        <f>IFERROR(__xludf.DUMMYFUNCTION("""COMPUTED_VALUE"""),"InsurTech")</f>
        <v>InsurTech</v>
      </c>
      <c r="E588" s="58"/>
      <c r="F588" s="59" t="str">
        <f>IFERROR(__xludf.DUMMYFUNCTION("""COMPUTED_VALUE"""),"J. Eric Smith (Fmr CEO, Swiss Re Americas), Bradley Tusk (Founder/CEO, Tusk Holdings)")</f>
        <v>J. Eric Smith (Fmr CEO, Swiss Re Americas), Bradley Tusk (Founder/CEO, Tusk Holdings)</v>
      </c>
      <c r="G588" s="60">
        <f>IFERROR(__xludf.DUMMYFUNCTION("""COMPUTED_VALUE"""),3.45E8)</f>
        <v>345000000</v>
      </c>
      <c r="H588" s="60" t="str">
        <f>IFERROR(__xludf.DUMMYFUNCTION("""COMPUTED_VALUE""")," ")</f>
        <v> </v>
      </c>
      <c r="I588" s="66" t="str">
        <f>IFERROR(__xludf.DUMMYFUNCTION("""COMPUTED_VALUE""")," ")</f>
        <v> </v>
      </c>
      <c r="J588" s="62" t="str">
        <f>IFERROR(__xludf.DUMMYFUNCTION("""COMPUTED_VALUE""")," ")</f>
        <v> </v>
      </c>
      <c r="K588" s="59">
        <f>IFERROR(__xludf.DUMMYFUNCTION("""COMPUTED_VALUE"""),9.98)</f>
        <v>9.98</v>
      </c>
      <c r="L588" s="87" t="str">
        <f>IFERROR(__xludf.DUMMYFUNCTION("""COMPUTED_VALUE""")," ")</f>
        <v> </v>
      </c>
      <c r="M588" s="64" t="str">
        <f>IFERROR(__xludf.DUMMYFUNCTION("""COMPUTED_VALUE"""),"U: [1/3 W]; W: [1:1, $11.5]")</f>
        <v>U: [1/3 W]; W: [1:1, $11.5]</v>
      </c>
      <c r="N588" s="65">
        <f>IFERROR(__xludf.DUMMYFUNCTION("""COMPUTED_VALUE"""),44317.0)</f>
        <v>44317</v>
      </c>
      <c r="O588" s="66" t="str">
        <f>IFERROR(__xludf.DUMMYFUNCTION("""COMPUTED_VALUE"""),"")</f>
        <v/>
      </c>
      <c r="P588" s="67">
        <f>IFERROR(__xludf.DUMMYFUNCTION("""COMPUTED_VALUE"""),44265.0)</f>
        <v>44265</v>
      </c>
      <c r="Q588" s="68">
        <f>IFERROR(__xludf.DUMMYFUNCTION("""COMPUTED_VALUE"""),345.0)</f>
        <v>345</v>
      </c>
      <c r="R588" s="69" t="str">
        <f>IFERROR(__xludf.DUMMYFUNCTION("""COMPUTED_VALUE"""),"Cantor")</f>
        <v>Cantor</v>
      </c>
      <c r="S588" s="64">
        <f>IFERROR(__xludf.DUMMYFUNCTION("""COMPUTED_VALUE"""),44995.0)</f>
        <v>44995</v>
      </c>
      <c r="T588" s="70">
        <f>IFERROR(__xludf.DUMMYFUNCTION("""COMPUTED_VALUE"""),0.04246575342465753)</f>
        <v>0.04246575342</v>
      </c>
      <c r="U588" s="71" t="str">
        <f>IFERROR(__xludf.DUMMYFUNCTION("""COMPUTED_VALUE"""),"https://www.sec.gov/cgi-bin/browse-edgar?CIK=1838238")</f>
        <v>https://www.sec.gov/cgi-bin/browse-edgar?CIK=1838238</v>
      </c>
      <c r="V588" s="72" t="str">
        <f>IFERROR(__xludf.DUMMYFUNCTION("""COMPUTED_VALUE"""),"            ")</f>
        <v>            </v>
      </c>
      <c r="W588" s="73"/>
      <c r="X588" s="74"/>
      <c r="Y588" s="75"/>
      <c r="Z588" s="60"/>
      <c r="AA588" s="60"/>
      <c r="AB588" s="60"/>
      <c r="AC588" s="60"/>
      <c r="AD588" s="73"/>
      <c r="AE588" s="73"/>
      <c r="AF588" s="76"/>
      <c r="AG588" s="60"/>
    </row>
    <row r="589">
      <c r="A589" s="54" t="str">
        <f>IFERROR(__xludf.DUMMYFUNCTION("""COMPUTED_VALUE"""),"PUCK")</f>
        <v>PUCK</v>
      </c>
      <c r="B589" s="55" t="str">
        <f>IFERROR(__xludf.DUMMYFUNCTION("""COMPUTED_VALUE"""),"Goal Acquisitions Corp.")</f>
        <v>Goal Acquisitions Corp.</v>
      </c>
      <c r="C589" s="56" t="str">
        <f>IFERROR(__xludf.DUMMYFUNCTION("""COMPUTED_VALUE"""),"Searching")</f>
        <v>Searching</v>
      </c>
      <c r="D589" s="57" t="str">
        <f>IFERROR(__xludf.DUMMYFUNCTION("""COMPUTED_VALUE"""),"Professional Sports Teams &amp; media, including sports tech, gaming &amp; e-sports")</f>
        <v>Professional Sports Teams &amp; media, including sports tech, gaming &amp; e-sports</v>
      </c>
      <c r="E589" s="58"/>
      <c r="F589" s="59" t="str">
        <f>IFERROR(__xludf.DUMMYFUNCTION("""COMPUTED_VALUE"""),"Harvey Schiller (Fmr Exec Director, US Olympic Committee; Fmr CEO, YankeeNets), Jon Miller (Fmr Chairman/CEO, AOL; Director, AMC Networks)")</f>
        <v>Harvey Schiller (Fmr Exec Director, US Olympic Committee; Fmr CEO, YankeeNets), Jon Miller (Fmr Chairman/CEO, AOL; Director, AMC Networks)</v>
      </c>
      <c r="G589" s="60">
        <f>IFERROR(__xludf.DUMMYFUNCTION("""COMPUTED_VALUE"""),2.5875E8)</f>
        <v>258750000</v>
      </c>
      <c r="H589" s="60">
        <f>IFERROR(__xludf.DUMMYFUNCTION("""COMPUTED_VALUE"""),3.2232735E8)</f>
        <v>322327350</v>
      </c>
      <c r="I589" s="66">
        <f>IFERROR(__xludf.DUMMYFUNCTION("""COMPUTED_VALUE"""),9.72)</f>
        <v>9.72</v>
      </c>
      <c r="J589" s="62">
        <f>IFERROR(__xludf.DUMMYFUNCTION("""COMPUTED_VALUE"""),-0.00103)</f>
        <v>-0.00103</v>
      </c>
      <c r="K589" s="59">
        <f>IFERROR(__xludf.DUMMYFUNCTION("""COMPUTED_VALUE"""),10.29)</f>
        <v>10.29</v>
      </c>
      <c r="L589" s="87">
        <f>IFERROR(__xludf.DUMMYFUNCTION("""COMPUTED_VALUE"""),0.6)</f>
        <v>0.6</v>
      </c>
      <c r="M589" s="64" t="str">
        <f>IFERROR(__xludf.DUMMYFUNCTION("""COMPUTED_VALUE"""),"U: [1 W]; W: [1:1, $11.5]")</f>
        <v>U: [1 W]; W: [1:1, $11.5]</v>
      </c>
      <c r="N589" s="65">
        <f>IFERROR(__xludf.DUMMYFUNCTION("""COMPUTED_VALUE"""),44281.0)</f>
        <v>44281</v>
      </c>
      <c r="O589" s="66">
        <f>IFERROR(__xludf.DUMMYFUNCTION("""COMPUTED_VALUE"""),0.0)</f>
        <v>0</v>
      </c>
      <c r="P589" s="67">
        <f>IFERROR(__xludf.DUMMYFUNCTION("""COMPUTED_VALUE"""),44237.0)</f>
        <v>44237</v>
      </c>
      <c r="Q589" s="68">
        <f>IFERROR(__xludf.DUMMYFUNCTION("""COMPUTED_VALUE"""),258.75)</f>
        <v>258.75</v>
      </c>
      <c r="R589" s="69" t="str">
        <f>IFERROR(__xludf.DUMMYFUNCTION("""COMPUTED_VALUE"""),"EarlyBirdCapital, Inc.")</f>
        <v>EarlyBirdCapital, Inc.</v>
      </c>
      <c r="S589" s="64">
        <f>IFERROR(__xludf.DUMMYFUNCTION("""COMPUTED_VALUE"""),44967.0)</f>
        <v>44967</v>
      </c>
      <c r="T589" s="70">
        <f>IFERROR(__xludf.DUMMYFUNCTION("""COMPUTED_VALUE"""),0.08082191780821918)</f>
        <v>0.08082191781</v>
      </c>
      <c r="U589" s="71" t="str">
        <f>IFERROR(__xludf.DUMMYFUNCTION("""COMPUTED_VALUE"""),"https://www.sec.gov/cgi-bin/browse-edgar?CIK=1836100")</f>
        <v>https://www.sec.gov/cgi-bin/browse-edgar?CIK=1836100</v>
      </c>
      <c r="V589" s="72" t="str">
        <f>IFERROR(__xludf.DUMMYFUNCTION("""COMPUTED_VALUE""")," Trading Below $10 (Common)        Well-known Sponsor   ")</f>
        <v> Trading Below $10 (Common)        Well-known Sponsor   </v>
      </c>
      <c r="W589" s="73"/>
      <c r="X589" s="74"/>
      <c r="Y589" s="75"/>
      <c r="Z589" s="60"/>
      <c r="AA589" s="60"/>
      <c r="AB589" s="60"/>
      <c r="AC589" s="60"/>
      <c r="AD589" s="73"/>
      <c r="AE589" s="73"/>
      <c r="AF589" s="76"/>
      <c r="AG589" s="60" t="str">
        <f>IFERROR(__xludf.DUMMYFUNCTION("""COMPUTED_VALUE"""),"")</f>
        <v/>
      </c>
    </row>
    <row r="590">
      <c r="A590" s="54" t="str">
        <f>IFERROR(__xludf.DUMMYFUNCTION("""COMPUTED_VALUE"""),"PV")</f>
        <v>PV</v>
      </c>
      <c r="B590" s="55" t="str">
        <f>IFERROR(__xludf.DUMMYFUNCTION("""COMPUTED_VALUE"""),"Primavera Capital Acquisition Corporation ")</f>
        <v>Primavera Capital Acquisition Corporation </v>
      </c>
      <c r="C590" s="56" t="str">
        <f>IFERROR(__xludf.DUMMYFUNCTION("""COMPUTED_VALUE"""),"Searching")</f>
        <v>Searching</v>
      </c>
      <c r="D590" s="57" t="str">
        <f>IFERROR(__xludf.DUMMYFUNCTION("""COMPUTED_VALUE"""),"China, Consumer")</f>
        <v>China, Consumer</v>
      </c>
      <c r="E590" s="58"/>
      <c r="F590" s="59" t="str">
        <f>IFERROR(__xludf.DUMMYFUNCTION("""COMPUTED_VALUE"""),"Muktesh Pant (Fmr CEO, Yum China; Fmr CEO, KFC Division (Yum); Fmr CMO, Yum Restaurants International)")</f>
        <v>Muktesh Pant (Fmr CEO, Yum China; Fmr CEO, KFC Division (Yum); Fmr CMO, Yum Restaurants International)</v>
      </c>
      <c r="G590" s="60">
        <f>IFERROR(__xludf.DUMMYFUNCTION("""COMPUTED_VALUE"""),4.14E8)</f>
        <v>414000000</v>
      </c>
      <c r="H590" s="60"/>
      <c r="I590" s="66">
        <f>IFERROR(__xludf.DUMMYFUNCTION("""COMPUTED_VALUE"""),10.0)</f>
        <v>10</v>
      </c>
      <c r="J590" s="62">
        <f>IFERROR(__xludf.DUMMYFUNCTION("""COMPUTED_VALUE"""),0.0101)</f>
        <v>0.0101</v>
      </c>
      <c r="K590" s="59">
        <f>IFERROR(__xludf.DUMMYFUNCTION("""COMPUTED_VALUE"""),10.34)</f>
        <v>10.34</v>
      </c>
      <c r="L590" s="87">
        <f>IFERROR(__xludf.DUMMYFUNCTION("""COMPUTED_VALUE"""),0.8)</f>
        <v>0.8</v>
      </c>
      <c r="M590" s="64" t="str">
        <f>IFERROR(__xludf.DUMMYFUNCTION("""COMPUTED_VALUE"""),"U: [1/2 W]; W: [1:1, $11.5]")</f>
        <v>U: [1/2 W]; W: [1:1, $11.5]</v>
      </c>
      <c r="N590" s="65" t="str">
        <f>IFERROR(__xludf.DUMMYFUNCTION("""COMPUTED_VALUE"""),"")</f>
        <v/>
      </c>
      <c r="O590" s="66">
        <f>IFERROR(__xludf.DUMMYFUNCTION("""COMPUTED_VALUE"""),0.0)</f>
        <v>0</v>
      </c>
      <c r="P590" s="67">
        <f>IFERROR(__xludf.DUMMYFUNCTION("""COMPUTED_VALUE"""),44217.0)</f>
        <v>44217</v>
      </c>
      <c r="Q590" s="68">
        <f>IFERROR(__xludf.DUMMYFUNCTION("""COMPUTED_VALUE"""),414.0)</f>
        <v>414</v>
      </c>
      <c r="R590" s="69" t="str">
        <f>IFERROR(__xludf.DUMMYFUNCTION("""COMPUTED_VALUE"""),"Credit Suisse, Citigroup")</f>
        <v>Credit Suisse, Citigroup</v>
      </c>
      <c r="S590" s="64">
        <f>IFERROR(__xludf.DUMMYFUNCTION("""COMPUTED_VALUE"""),44947.0)</f>
        <v>44947</v>
      </c>
      <c r="T590" s="70">
        <f>IFERROR(__xludf.DUMMYFUNCTION("""COMPUTED_VALUE"""),0.10821917808219178)</f>
        <v>0.1082191781</v>
      </c>
      <c r="U590" s="71" t="str">
        <f>IFERROR(__xludf.DUMMYFUNCTION("""COMPUTED_VALUE"""),"https://www.sec.gov/cgi-bin/browse-edgar?CIK=1818787")</f>
        <v>https://www.sec.gov/cgi-bin/browse-edgar?CIK=1818787</v>
      </c>
      <c r="V590" s="72" t="str">
        <f>IFERROR(__xludf.DUMMYFUNCTION("""COMPUTED_VALUE""")," Trading Below $10 (Common)          Top Tier UW ")</f>
        <v> Trading Below $10 (Common)          Top Tier UW </v>
      </c>
      <c r="W590" s="73"/>
      <c r="X590" s="74"/>
      <c r="Y590" s="75"/>
      <c r="Z590" s="60"/>
      <c r="AA590" s="60"/>
      <c r="AB590" s="60"/>
      <c r="AC590" s="60"/>
      <c r="AD590" s="73"/>
      <c r="AE590" s="73"/>
      <c r="AF590" s="76"/>
      <c r="AG590" s="60" t="str">
        <f>IFERROR(__xludf.DUMMYFUNCTION("""COMPUTED_VALUE"""),"")</f>
        <v/>
      </c>
    </row>
    <row r="591">
      <c r="A591" s="54" t="str">
        <f>IFERROR(__xludf.DUMMYFUNCTION("""COMPUTED_VALUE"""),"QELL")</f>
        <v>QELL</v>
      </c>
      <c r="B591" s="55" t="str">
        <f>IFERROR(__xludf.DUMMYFUNCTION("""COMPUTED_VALUE"""),"Qell Acquisition Corp.")</f>
        <v>Qell Acquisition Corp.</v>
      </c>
      <c r="C591" s="56" t="str">
        <f>IFERROR(__xludf.DUMMYFUNCTION("""COMPUTED_VALUE"""),"Definitive Agreement")</f>
        <v>Definitive Agreement</v>
      </c>
      <c r="D591" s="57" t="str">
        <f>IFERROR(__xludf.DUMMYFUNCTION("""COMPUTED_VALUE"""),"Next-generation Mobility, Transportation, Sustainable Industrial Technology")</f>
        <v>Next-generation Mobility, Transportation, Sustainable Industrial Technology</v>
      </c>
      <c r="E591" s="58" t="str">
        <f>IFERROR(__xludf.DUMMYFUNCTION("""COMPUTED_VALUE"""),"Lilium [DA: 03/30/21]")</f>
        <v>Lilium [DA: 03/30/21]</v>
      </c>
      <c r="F591" s="59" t="str">
        <f>IFERROR(__xludf.DUMMYFUNCTION("""COMPUTED_VALUE"""),"Barry Engle (Fmr President, GM North America; CEO, Agility Fuel Systems; CEO, Ford Canada), Kathleen Ligocki (Fmr CEO, Agility Fuel Solutions), Ryan Popple (Partner, R7 Partners; Director, Proterra)")</f>
        <v>Barry Engle (Fmr President, GM North America; CEO, Agility Fuel Systems; CEO, Ford Canada), Kathleen Ligocki (Fmr CEO, Agility Fuel Solutions), Ryan Popple (Partner, R7 Partners; Director, Proterra)</v>
      </c>
      <c r="G591" s="60">
        <f>IFERROR(__xludf.DUMMYFUNCTION("""COMPUTED_VALUE"""),3.79579492E8)</f>
        <v>379579492</v>
      </c>
      <c r="H591" s="60">
        <f>IFERROR(__xludf.DUMMYFUNCTION("""COMPUTED_VALUE"""),3.33847466E8)</f>
        <v>333847466</v>
      </c>
      <c r="I591" s="66">
        <f>IFERROR(__xludf.DUMMYFUNCTION("""COMPUTED_VALUE"""),10.15)</f>
        <v>10.15</v>
      </c>
      <c r="J591" s="62"/>
      <c r="K591" s="59">
        <f>IFERROR(__xludf.DUMMYFUNCTION("""COMPUTED_VALUE"""),10.73)</f>
        <v>10.73</v>
      </c>
      <c r="L591" s="87">
        <f>IFERROR(__xludf.DUMMYFUNCTION("""COMPUTED_VALUE"""),1.6)</f>
        <v>1.6</v>
      </c>
      <c r="M591" s="64" t="str">
        <f>IFERROR(__xludf.DUMMYFUNCTION("""COMPUTED_VALUE"""),"U: [1/3 W]; W: [1:1, $11.5]")</f>
        <v>U: [1/3 W]; W: [1:1, $11.5]</v>
      </c>
      <c r="N591" s="65" t="str">
        <f>IFERROR(__xludf.DUMMYFUNCTION("""COMPUTED_VALUE"""),"")</f>
        <v/>
      </c>
      <c r="O591" s="66">
        <f>IFERROR(__xludf.DUMMYFUNCTION("""COMPUTED_VALUE"""),0.0)</f>
        <v>0</v>
      </c>
      <c r="P591" s="67">
        <f>IFERROR(__xludf.DUMMYFUNCTION("""COMPUTED_VALUE"""),44104.0)</f>
        <v>44104</v>
      </c>
      <c r="Q591" s="68">
        <f>IFERROR(__xludf.DUMMYFUNCTION("""COMPUTED_VALUE"""),379.5)</f>
        <v>379.5</v>
      </c>
      <c r="R591" s="69" t="str">
        <f>IFERROR(__xludf.DUMMYFUNCTION("""COMPUTED_VALUE"""),"JP Morgan, Barclays")</f>
        <v>JP Morgan, Barclays</v>
      </c>
      <c r="S591" s="64">
        <f>IFERROR(__xludf.DUMMYFUNCTION("""COMPUTED_VALUE"""),44834.0)</f>
        <v>44834</v>
      </c>
      <c r="T591" s="70">
        <f>IFERROR(__xludf.DUMMYFUNCTION("""COMPUTED_VALUE"""),0.26301369863013696)</f>
        <v>0.2630136986</v>
      </c>
      <c r="U591" s="71" t="str">
        <f>IFERROR(__xludf.DUMMYFUNCTION("""COMPUTED_VALUE"""),"https://www.sec.gov/cgi-bin/browse-edgar?CIK=1821171")</f>
        <v>https://www.sec.gov/cgi-bin/browse-edgar?CIK=1821171</v>
      </c>
      <c r="V591" s="72" t="str">
        <f>IFERROR(__xludf.DUMMYFUNCTION("""COMPUTED_VALUE"""),"Sustainability     Optionable      Top Tier UW ")</f>
        <v>Sustainability     Optionable      Top Tier UW </v>
      </c>
      <c r="W591" s="73">
        <f>IFERROR(__xludf.DUMMYFUNCTION("""COMPUTED_VALUE"""),44285.0)</f>
        <v>44285</v>
      </c>
      <c r="X591" s="79">
        <f>IFERROR(__xludf.DUMMYFUNCTION("""COMPUTED_VALUE"""),6.033333333333333)</f>
        <v>6.033333333</v>
      </c>
      <c r="Y591" s="80" t="str">
        <f>IFERROR(__xludf.DUMMYFUNCTION("""COMPUTED_VALUE"""),"https://www.prnewswire.com/news-releases/lilium-announces-intention-to-list-on-nasdaq-through-a-merger-with-qell-acquisition-corp-and-reveals-development-of-its-7-seater-electric-vertical-take-off-and-landing-jet-301258288.html")</f>
        <v>https://www.prnewswire.com/news-releases/lilium-announces-intention-to-list-on-nasdaq-through-a-merger-with-qell-acquisition-corp-and-reveals-development-of-its-7-seater-electric-vertical-take-off-and-landing-jet-301258288.html</v>
      </c>
      <c r="Z591" s="81" t="str">
        <f>IFERROR(__xludf.DUMMYFUNCTION("""COMPUTED_VALUE"""),"https://www.sec.gov/Archives/edgar/data/1821171/000110465921043701/tm2111158d3_425.htm")</f>
        <v>https://www.sec.gov/Archives/edgar/data/1821171/000110465921043701/tm2111158d3_425.htm</v>
      </c>
      <c r="AA591" s="60">
        <f>IFERROR(__xludf.DUMMYFUNCTION("""COMPUTED_VALUE"""),4.5E8)</f>
        <v>450000000</v>
      </c>
      <c r="AB591" s="60">
        <f>IFERROR(__xludf.DUMMYFUNCTION("""COMPUTED_VALUE"""),3.32E9)</f>
        <v>3320000000</v>
      </c>
      <c r="AC591" s="60">
        <f>IFERROR(__xludf.DUMMYFUNCTION("""COMPUTED_VALUE"""),2.374E9)</f>
        <v>2374000000</v>
      </c>
      <c r="AD591" s="73"/>
      <c r="AE591" s="73"/>
      <c r="AF591" s="76">
        <f>IFERROR(__xludf.DUMMYFUNCTION("""COMPUTED_VALUE"""),3.32E8)</f>
        <v>332000000</v>
      </c>
      <c r="AG591" s="60">
        <f>IFERROR(__xludf.DUMMYFUNCTION("""COMPUTED_VALUE"""),3.3698E9)</f>
        <v>3369800000</v>
      </c>
    </row>
    <row r="592">
      <c r="A592" s="54" t="str">
        <f>IFERROR(__xludf.DUMMYFUNCTION("""COMPUTED_VALUE"""),"QFTA")</f>
        <v>QFTA</v>
      </c>
      <c r="B592" s="55" t="str">
        <f>IFERROR(__xludf.DUMMYFUNCTION("""COMPUTED_VALUE"""),"Quantum FinTech Acquisition Corporation")</f>
        <v>Quantum FinTech Acquisition Corporation</v>
      </c>
      <c r="C592" s="56" t="str">
        <f>IFERROR(__xludf.DUMMYFUNCTION("""COMPUTED_VALUE"""),"Searching")</f>
        <v>Searching</v>
      </c>
      <c r="D592" s="57" t="str">
        <f>IFERROR(__xludf.DUMMYFUNCTION("""COMPUTED_VALUE"""),"FinTech, Financial Services")</f>
        <v>FinTech, Financial Services</v>
      </c>
      <c r="E592" s="58"/>
      <c r="F592" s="59" t="str">
        <f>IFERROR(__xludf.DUMMYFUNCTION("""COMPUTED_VALUE"""),"Richard Korhammer (Fmr Managing Director, Chardan)")</f>
        <v>Richard Korhammer (Fmr Managing Director, Chardan)</v>
      </c>
      <c r="G592" s="60">
        <f>IFERROR(__xludf.DUMMYFUNCTION("""COMPUTED_VALUE"""),1.75E8)</f>
        <v>175000000</v>
      </c>
      <c r="H592" s="60">
        <f>IFERROR(__xludf.DUMMYFUNCTION("""COMPUTED_VALUE"""),2.475375E8)</f>
        <v>247537500</v>
      </c>
      <c r="I592" s="66">
        <f>IFERROR(__xludf.DUMMYFUNCTION("""COMPUTED_VALUE"""),9.84)</f>
        <v>9.84</v>
      </c>
      <c r="J592" s="62">
        <f>IFERROR(__xludf.DUMMYFUNCTION("""COMPUTED_VALUE"""),0.00408)</f>
        <v>0.00408</v>
      </c>
      <c r="K592" s="59">
        <f>IFERROR(__xludf.DUMMYFUNCTION("""COMPUTED_VALUE"""),10.09)</f>
        <v>10.09</v>
      </c>
      <c r="L592" s="87">
        <f>IFERROR(__xludf.DUMMYFUNCTION("""COMPUTED_VALUE"""),0.2881)</f>
        <v>0.2881</v>
      </c>
      <c r="M592" s="64" t="str">
        <f>IFERROR(__xludf.DUMMYFUNCTION("""COMPUTED_VALUE"""),"U: [1 W]; W: [2:1, $11.5]")</f>
        <v>U: [1 W]; W: [2:1, $11.5]</v>
      </c>
      <c r="N592" s="65">
        <f>IFERROR(__xludf.DUMMYFUNCTION("""COMPUTED_VALUE"""),44265.0)</f>
        <v>44265</v>
      </c>
      <c r="O592" s="66">
        <f>IFERROR(__xludf.DUMMYFUNCTION("""COMPUTED_VALUE"""),0.0)</f>
        <v>0</v>
      </c>
      <c r="P592" s="67">
        <f>IFERROR(__xludf.DUMMYFUNCTION("""COMPUTED_VALUE"""),44231.0)</f>
        <v>44231</v>
      </c>
      <c r="Q592" s="68">
        <f>IFERROR(__xludf.DUMMYFUNCTION("""COMPUTED_VALUE"""),175.0)</f>
        <v>175</v>
      </c>
      <c r="R592" s="69" t="str">
        <f>IFERROR(__xludf.DUMMYFUNCTION("""COMPUTED_VALUE"""),"Chardan")</f>
        <v>Chardan</v>
      </c>
      <c r="S592" s="64">
        <f>IFERROR(__xludf.DUMMYFUNCTION("""COMPUTED_VALUE"""),44778.5)</f>
        <v>44778.5</v>
      </c>
      <c r="T592" s="70">
        <f>IFERROR(__xludf.DUMMYFUNCTION("""COMPUTED_VALUE"""),0.1187214611872146)</f>
        <v>0.1187214612</v>
      </c>
      <c r="U592" s="71" t="str">
        <f>IFERROR(__xludf.DUMMYFUNCTION("""COMPUTED_VALUE"""),"https://www.sec.gov/cgi-bin/browse-edgar?CIK=1830795")</f>
        <v>https://www.sec.gov/cgi-bin/browse-edgar?CIK=1830795</v>
      </c>
      <c r="V592" s="72" t="str">
        <f>IFERROR(__xludf.DUMMYFUNCTION("""COMPUTED_VALUE""")," Trading Below $10 (Common)           ")</f>
        <v> Trading Below $10 (Common)           </v>
      </c>
      <c r="W592" s="73"/>
      <c r="X592" s="74"/>
      <c r="Y592" s="75"/>
      <c r="Z592" s="60"/>
      <c r="AA592" s="60"/>
      <c r="AB592" s="60"/>
      <c r="AC592" s="60"/>
      <c r="AD592" s="73"/>
      <c r="AE592" s="73"/>
      <c r="AF592" s="76"/>
      <c r="AG592" s="60" t="str">
        <f>IFERROR(__xludf.DUMMYFUNCTION("""COMPUTED_VALUE"""),"")</f>
        <v/>
      </c>
    </row>
    <row r="593">
      <c r="A593" s="88" t="str">
        <f>IFERROR(__xludf.DUMMYFUNCTION("""COMPUTED_VALUE"""),"QNZL")</f>
        <v>QNZL</v>
      </c>
      <c r="B593" s="55" t="str">
        <f>IFERROR(__xludf.DUMMYFUNCTION("""COMPUTED_VALUE"""),"Quinzel Acquisition Co")</f>
        <v>Quinzel Acquisition Co</v>
      </c>
      <c r="C593" s="56" t="str">
        <f>IFERROR(__xludf.DUMMYFUNCTION("""COMPUTED_VALUE"""),"Pre IPO")</f>
        <v>Pre IPO</v>
      </c>
      <c r="D593" s="57"/>
      <c r="E593" s="58"/>
      <c r="F593" s="59"/>
      <c r="G593" s="60">
        <f>IFERROR(__xludf.DUMMYFUNCTION("""COMPUTED_VALUE"""),2.0E8)</f>
        <v>200000000</v>
      </c>
      <c r="H593" s="60" t="str">
        <f>IFERROR(__xludf.DUMMYFUNCTION("""COMPUTED_VALUE""")," ")</f>
        <v> </v>
      </c>
      <c r="I593" s="66" t="str">
        <f>IFERROR(__xludf.DUMMYFUNCTION("""COMPUTED_VALUE""")," ")</f>
        <v> </v>
      </c>
      <c r="J593" s="62" t="str">
        <f>IFERROR(__xludf.DUMMYFUNCTION("""COMPUTED_VALUE""")," ")</f>
        <v> </v>
      </c>
      <c r="K593" s="59" t="str">
        <f>IFERROR(__xludf.DUMMYFUNCTION("""COMPUTED_VALUE""")," ")</f>
        <v> </v>
      </c>
      <c r="L593" s="87" t="str">
        <f>IFERROR(__xludf.DUMMYFUNCTION("""COMPUTED_VALUE""")," ")</f>
        <v> </v>
      </c>
      <c r="M593" s="64" t="str">
        <f>IFERROR(__xludf.DUMMYFUNCTION("""COMPUTED_VALUE"""),"U: [1/2 W]; W: [1:1, $11.5]")</f>
        <v>U: [1/2 W]; W: [1:1, $11.5]</v>
      </c>
      <c r="N593" s="65" t="str">
        <f>IFERROR(__xludf.DUMMYFUNCTION("""COMPUTED_VALUE"""),"")</f>
        <v/>
      </c>
      <c r="O593" s="66">
        <f>IFERROR(__xludf.DUMMYFUNCTION("""COMPUTED_VALUE"""),0.0)</f>
        <v>0</v>
      </c>
      <c r="P593" s="67"/>
      <c r="Q593" s="68">
        <f>IFERROR(__xludf.DUMMYFUNCTION("""COMPUTED_VALUE"""),200.0)</f>
        <v>200</v>
      </c>
      <c r="R593" s="69" t="str">
        <f>IFERROR(__xludf.DUMMYFUNCTION("""COMPUTED_VALUE"""),"Cantor")</f>
        <v>Cantor</v>
      </c>
      <c r="S593" s="64">
        <f>IFERROR(__xludf.DUMMYFUNCTION("""COMPUTED_VALUE"""),45086.0)</f>
        <v>45086</v>
      </c>
      <c r="T593" s="70" t="str">
        <f>IFERROR(__xludf.DUMMYFUNCTION("""COMPUTED_VALUE"""),"")</f>
        <v/>
      </c>
      <c r="U593" s="71" t="str">
        <f>IFERROR(__xludf.DUMMYFUNCTION("""COMPUTED_VALUE"""),"https://www.sec.gov/cgi-bin/browse-edgar?CIK=1841593")</f>
        <v>https://www.sec.gov/cgi-bin/browse-edgar?CIK=1841593</v>
      </c>
      <c r="V593" s="72" t="str">
        <f>IFERROR(__xludf.DUMMYFUNCTION("""COMPUTED_VALUE"""),"            ")</f>
        <v>            </v>
      </c>
      <c r="W593" s="73"/>
      <c r="X593" s="74"/>
      <c r="Y593" s="75"/>
      <c r="Z593" s="60"/>
      <c r="AA593" s="60"/>
      <c r="AB593" s="60"/>
      <c r="AC593" s="60"/>
      <c r="AD593" s="73"/>
      <c r="AE593" s="73"/>
      <c r="AF593" s="76"/>
      <c r="AG593" s="60"/>
    </row>
    <row r="594">
      <c r="A594" s="88" t="str">
        <f>IFERROR(__xludf.DUMMYFUNCTION("""COMPUTED_VALUE"""),"QPAA")</f>
        <v>QPAA</v>
      </c>
      <c r="B594" s="55" t="str">
        <f>IFERROR(__xludf.DUMMYFUNCTION("""COMPUTED_VALUE"""),"Quiet Plus I Acquisition Corp.")</f>
        <v>Quiet Plus I Acquisition Corp.</v>
      </c>
      <c r="C594" s="56" t="str">
        <f>IFERROR(__xludf.DUMMYFUNCTION("""COMPUTED_VALUE"""),"Pre IPO")</f>
        <v>Pre IPO</v>
      </c>
      <c r="D594" s="77" t="str">
        <f>IFERROR(__xludf.DUMMYFUNCTION("""COMPUTED_VALUE"""),"Tech")</f>
        <v>Tech</v>
      </c>
      <c r="E594" s="58"/>
      <c r="F594" s="59" t="str">
        <f>IFERROR(__xludf.DUMMYFUNCTION("""COMPUTED_VALUE"""),"Matthew Humphrey (Founder/MP, Quiet Capital; Co-Founder/Fmr CEO, LendingHome), Michael Preysman (Founder/CEO, Everlane), Khozema Shipchandler (CFO, Twilio), Jessica Holscott (Fmr CFO, HBO), Payal Kadakia (Founder/Exec Chairman, ClassPass)")</f>
        <v>Matthew Humphrey (Founder/MP, Quiet Capital; Co-Founder/Fmr CEO, LendingHome), Michael Preysman (Founder/CEO, Everlane), Khozema Shipchandler (CFO, Twilio), Jessica Holscott (Fmr CFO, HBO), Payal Kadakia (Founder/Exec Chairman, ClassPass)</v>
      </c>
      <c r="G594" s="60">
        <f>IFERROR(__xludf.DUMMYFUNCTION("""COMPUTED_VALUE"""),2.5E8)</f>
        <v>250000000</v>
      </c>
      <c r="H594" s="60" t="str">
        <f>IFERROR(__xludf.DUMMYFUNCTION("""COMPUTED_VALUE""")," ")</f>
        <v> </v>
      </c>
      <c r="I594" s="66" t="str">
        <f>IFERROR(__xludf.DUMMYFUNCTION("""COMPUTED_VALUE""")," ")</f>
        <v> </v>
      </c>
      <c r="J594" s="62" t="str">
        <f>IFERROR(__xludf.DUMMYFUNCTION("""COMPUTED_VALUE""")," ")</f>
        <v> </v>
      </c>
      <c r="K594" s="59" t="str">
        <f>IFERROR(__xludf.DUMMYFUNCTION("""COMPUTED_VALUE""")," ")</f>
        <v> </v>
      </c>
      <c r="L594" s="87" t="str">
        <f>IFERROR(__xludf.DUMMYFUNCTION("""COMPUTED_VALUE""")," ")</f>
        <v> </v>
      </c>
      <c r="M594" s="64" t="str">
        <f>IFERROR(__xludf.DUMMYFUNCTION("""COMPUTED_VALUE"""),"U: [1/4 W]; W: [1:1, $11.5]")</f>
        <v>U: [1/4 W]; W: [1:1, $11.5]</v>
      </c>
      <c r="N594" s="65" t="str">
        <f>IFERROR(__xludf.DUMMYFUNCTION("""COMPUTED_VALUE"""),"")</f>
        <v/>
      </c>
      <c r="O594" s="66">
        <f>IFERROR(__xludf.DUMMYFUNCTION("""COMPUTED_VALUE"""),0.0)</f>
        <v>0</v>
      </c>
      <c r="P594" s="67"/>
      <c r="Q594" s="68">
        <f>IFERROR(__xludf.DUMMYFUNCTION("""COMPUTED_VALUE"""),250.0)</f>
        <v>250</v>
      </c>
      <c r="R594" s="69" t="str">
        <f>IFERROR(__xludf.DUMMYFUNCTION("""COMPUTED_VALUE"""),"Credit Suisse")</f>
        <v>Credit Suisse</v>
      </c>
      <c r="S594" s="64">
        <f>IFERROR(__xludf.DUMMYFUNCTION("""COMPUTED_VALUE"""),45086.0)</f>
        <v>45086</v>
      </c>
      <c r="T594" s="70" t="str">
        <f>IFERROR(__xludf.DUMMYFUNCTION("""COMPUTED_VALUE"""),"")</f>
        <v/>
      </c>
      <c r="U594" s="71" t="str">
        <f>IFERROR(__xludf.DUMMYFUNCTION("""COMPUTED_VALUE"""),"https://www.sec.gov/cgi-bin/browse-edgar?CIK=1850047")</f>
        <v>https://www.sec.gov/cgi-bin/browse-edgar?CIK=1850047</v>
      </c>
      <c r="V594" s="72" t="str">
        <f>IFERROR(__xludf.DUMMYFUNCTION("""COMPUTED_VALUE"""),"Venture Capital            ")</f>
        <v>Venture Capital            </v>
      </c>
      <c r="W594" s="73"/>
      <c r="X594" s="74"/>
      <c r="Y594" s="75"/>
      <c r="Z594" s="60"/>
      <c r="AA594" s="60"/>
      <c r="AB594" s="60"/>
      <c r="AC594" s="60"/>
      <c r="AD594" s="73"/>
      <c r="AE594" s="73"/>
      <c r="AF594" s="76"/>
      <c r="AG594" s="60"/>
    </row>
    <row r="595">
      <c r="A595" s="88" t="str">
        <f>IFERROR(__xludf.DUMMYFUNCTION("""COMPUTED_VALUE"""),"QWNB")</f>
        <v>QWNB</v>
      </c>
      <c r="B595" s="55" t="str">
        <f>IFERROR(__xludf.DUMMYFUNCTION("""COMPUTED_VALUE"""),"Queen's Gambit Growth Capital II")</f>
        <v>Queen's Gambit Growth Capital II</v>
      </c>
      <c r="C595" s="56" t="str">
        <f>IFERROR(__xludf.DUMMYFUNCTION("""COMPUTED_VALUE"""),"Pre IPO")</f>
        <v>Pre IPO</v>
      </c>
      <c r="D595" s="77" t="str">
        <f>IFERROR(__xludf.DUMMYFUNCTION("""COMPUTED_VALUE"""),"""Solutions promoting sustainable development, economic growth and prosperity""")</f>
        <v>"Solutions promoting sustainable development, economic growth and prosperity"</v>
      </c>
      <c r="E595" s="58"/>
      <c r="F595" s="59" t="str">
        <f>IFERROR(__xludf.DUMMYFUNCTION("""COMPUTED_VALUE"""),"Victoria Grace (CEO of Colle Capital Partners), Anastasia Nyrkovskaya (CFO of Fortune Media), Lone Fonss Schroder (Director of IKEA Group and Volvo Car Group)")</f>
        <v>Victoria Grace (CEO of Colle Capital Partners), Anastasia Nyrkovskaya (CFO of Fortune Media), Lone Fonss Schroder (Director of IKEA Group and Volvo Car Group)</v>
      </c>
      <c r="G595" s="60">
        <f>IFERROR(__xludf.DUMMYFUNCTION("""COMPUTED_VALUE"""),3.0E8)</f>
        <v>300000000</v>
      </c>
      <c r="H595" s="60" t="str">
        <f>IFERROR(__xludf.DUMMYFUNCTION("""COMPUTED_VALUE""")," ")</f>
        <v> </v>
      </c>
      <c r="I595" s="66" t="str">
        <f>IFERROR(__xludf.DUMMYFUNCTION("""COMPUTED_VALUE""")," ")</f>
        <v> </v>
      </c>
      <c r="J595" s="62" t="str">
        <f>IFERROR(__xludf.DUMMYFUNCTION("""COMPUTED_VALUE""")," ")</f>
        <v> </v>
      </c>
      <c r="K595" s="59" t="str">
        <f>IFERROR(__xludf.DUMMYFUNCTION("""COMPUTED_VALUE""")," ")</f>
        <v> </v>
      </c>
      <c r="L595" s="87" t="str">
        <f>IFERROR(__xludf.DUMMYFUNCTION("""COMPUTED_VALUE""")," ")</f>
        <v> </v>
      </c>
      <c r="M595" s="64" t="str">
        <f>IFERROR(__xludf.DUMMYFUNCTION("""COMPUTED_VALUE"""),"U: [1/4 W]; W: [1:1, $11.5]")</f>
        <v>U: [1/4 W]; W: [1:1, $11.5]</v>
      </c>
      <c r="N595" s="65" t="str">
        <f>IFERROR(__xludf.DUMMYFUNCTION("""COMPUTED_VALUE"""),"")</f>
        <v/>
      </c>
      <c r="O595" s="66">
        <f>IFERROR(__xludf.DUMMYFUNCTION("""COMPUTED_VALUE"""),0.0)</f>
        <v>0</v>
      </c>
      <c r="P595" s="67"/>
      <c r="Q595" s="68">
        <f>IFERROR(__xludf.DUMMYFUNCTION("""COMPUTED_VALUE"""),300.0)</f>
        <v>300</v>
      </c>
      <c r="R595" s="69" t="str">
        <f>IFERROR(__xludf.DUMMYFUNCTION("""COMPUTED_VALUE"""),"Barclays")</f>
        <v>Barclays</v>
      </c>
      <c r="S595" s="64">
        <f>IFERROR(__xludf.DUMMYFUNCTION("""COMPUTED_VALUE"""),45086.0)</f>
        <v>45086</v>
      </c>
      <c r="T595" s="70" t="str">
        <f>IFERROR(__xludf.DUMMYFUNCTION("""COMPUTED_VALUE"""),"")</f>
        <v/>
      </c>
      <c r="U595" s="71" t="str">
        <f>IFERROR(__xludf.DUMMYFUNCTION("""COMPUTED_VALUE"""),"https://www.sec.gov/cgi-bin/browse-edgar?CIK=1844934")</f>
        <v>https://www.sec.gov/cgi-bin/browse-edgar?CIK=1844934</v>
      </c>
      <c r="V595" s="72" t="str">
        <f>IFERROR(__xludf.DUMMYFUNCTION("""COMPUTED_VALUE"""),"            ")</f>
        <v>            </v>
      </c>
      <c r="W595" s="73"/>
      <c r="X595" s="74"/>
      <c r="Y595" s="75"/>
      <c r="Z595" s="60"/>
      <c r="AA595" s="60"/>
      <c r="AB595" s="60"/>
      <c r="AC595" s="60"/>
      <c r="AD595" s="73"/>
      <c r="AE595" s="73"/>
      <c r="AF595" s="76"/>
      <c r="AG595" s="60"/>
    </row>
    <row r="596">
      <c r="A596" s="54" t="str">
        <f>IFERROR(__xludf.DUMMYFUNCTION("""COMPUTED_VALUE"""),"RAAC")</f>
        <v>RAAC</v>
      </c>
      <c r="B596" s="55" t="str">
        <f>IFERROR(__xludf.DUMMYFUNCTION("""COMPUTED_VALUE"""),"Revolution Acceleration Acquisition Corp")</f>
        <v>Revolution Acceleration Acquisition Corp</v>
      </c>
      <c r="C596" s="56" t="str">
        <f>IFERROR(__xludf.DUMMYFUNCTION("""COMPUTED_VALUE"""),"Definitive Agreement")</f>
        <v>Definitive Agreement</v>
      </c>
      <c r="D596" s="57" t="str">
        <f>IFERROR(__xludf.DUMMYFUNCTION("""COMPUTED_VALUE"""),"Financial Services, Healthcare, Tech, Consumer and Media")</f>
        <v>Financial Services, Healthcare, Tech, Consumer and Media</v>
      </c>
      <c r="E596" s="58" t="str">
        <f>IFERROR(__xludf.DUMMYFUNCTION("""COMPUTED_VALUE"""),"Berkshire Grey [DA: 02/24/21]")</f>
        <v>Berkshire Grey [DA: 02/24/21]</v>
      </c>
      <c r="F596" s="59" t="str">
        <f>IFERROR(__xludf.DUMMYFUNCTION("""COMPUTED_VALUE"""),"Steve Case (Fmr CEO, AOL; CEO, Revolution), John Delaney (Fmr US House Rep)")</f>
        <v>Steve Case (Fmr CEO, AOL; CEO, Revolution), John Delaney (Fmr US House Rep)</v>
      </c>
      <c r="G596" s="60">
        <f>IFERROR(__xludf.DUMMYFUNCTION("""COMPUTED_VALUE"""),2.87491254E8)</f>
        <v>287491254</v>
      </c>
      <c r="H596" s="60">
        <f>IFERROR(__xludf.DUMMYFUNCTION("""COMPUTED_VALUE"""),2.958375E8)</f>
        <v>295837500</v>
      </c>
      <c r="I596" s="66">
        <f>IFERROR(__xludf.DUMMYFUNCTION("""COMPUTED_VALUE"""),10.29)</f>
        <v>10.29</v>
      </c>
      <c r="J596" s="62">
        <f>IFERROR(__xludf.DUMMYFUNCTION("""COMPUTED_VALUE"""),0.00195)</f>
        <v>0.00195</v>
      </c>
      <c r="K596" s="59">
        <f>IFERROR(__xludf.DUMMYFUNCTION("""COMPUTED_VALUE"""),10.9483)</f>
        <v>10.9483</v>
      </c>
      <c r="L596" s="87">
        <f>IFERROR(__xludf.DUMMYFUNCTION("""COMPUTED_VALUE"""),1.96)</f>
        <v>1.96</v>
      </c>
      <c r="M596" s="64" t="str">
        <f>IFERROR(__xludf.DUMMYFUNCTION("""COMPUTED_VALUE"""),"U: [1/3 W]; W: [1:1, $11.5]")</f>
        <v>U: [1/3 W]; W: [1:1, $11.5]</v>
      </c>
      <c r="N596" s="65" t="str">
        <f>IFERROR(__xludf.DUMMYFUNCTION("""COMPUTED_VALUE"""),"")</f>
        <v/>
      </c>
      <c r="O596" s="66">
        <f>IFERROR(__xludf.DUMMYFUNCTION("""COMPUTED_VALUE"""),0.0)</f>
        <v>0</v>
      </c>
      <c r="P596" s="67">
        <f>IFERROR(__xludf.DUMMYFUNCTION("""COMPUTED_VALUE"""),44172.0)</f>
        <v>44172</v>
      </c>
      <c r="Q596" s="68">
        <f>IFERROR(__xludf.DUMMYFUNCTION("""COMPUTED_VALUE"""),287.5)</f>
        <v>287.5</v>
      </c>
      <c r="R596" s="69" t="str">
        <f>IFERROR(__xludf.DUMMYFUNCTION("""COMPUTED_VALUE"""),"Credit Suisse")</f>
        <v>Credit Suisse</v>
      </c>
      <c r="S596" s="64">
        <f>IFERROR(__xludf.DUMMYFUNCTION("""COMPUTED_VALUE"""),44902.0)</f>
        <v>44902</v>
      </c>
      <c r="T596" s="70">
        <f>IFERROR(__xludf.DUMMYFUNCTION("""COMPUTED_VALUE"""),0.16986301369863013)</f>
        <v>0.1698630137</v>
      </c>
      <c r="U596" s="71" t="str">
        <f>IFERROR(__xludf.DUMMYFUNCTION("""COMPUTED_VALUE"""),"https://www.sec.gov/cgi-bin/browse-edgar?CIK=1824734")</f>
        <v>https://www.sec.gov/cgi-bin/browse-edgar?CIK=1824734</v>
      </c>
      <c r="V596" s="72" t="str">
        <f>IFERROR(__xludf.DUMMYFUNCTION("""COMPUTED_VALUE"""),"     Optionable    Well-known Sponsor   ")</f>
        <v>     Optionable    Well-known Sponsor   </v>
      </c>
      <c r="W596" s="73">
        <f>IFERROR(__xludf.DUMMYFUNCTION("""COMPUTED_VALUE"""),44251.0)</f>
        <v>44251</v>
      </c>
      <c r="X596" s="79">
        <f>IFERROR(__xludf.DUMMYFUNCTION("""COMPUTED_VALUE"""),2.6333333333333333)</f>
        <v>2.633333333</v>
      </c>
      <c r="Y596" s="80" t="str">
        <f>IFERROR(__xludf.DUMMYFUNCTION("""COMPUTED_VALUE"""),"https://www.businesswire.com/news/home/20210224005491/en/Berkshire-Grey-a-Leader-in-AI-Enabled-Robotics-and-Automation-Solutions-Announces-Business-Combination-with-Revolution-Acceleration-Acquisition-Corp")</f>
        <v>https://www.businesswire.com/news/home/20210224005491/en/Berkshire-Grey-a-Leader-in-AI-Enabled-Robotics-and-Automation-Solutions-Announces-Business-Combination-with-Revolution-Acceleration-Acquisition-Corp</v>
      </c>
      <c r="Z596" s="81" t="str">
        <f>IFERROR(__xludf.DUMMYFUNCTION("""COMPUTED_VALUE"""),"https://www.sec.gov/Archives/edgar/data/1824734/000121390021011268/ea136272ex99-2_revolution.htm")</f>
        <v>https://www.sec.gov/Archives/edgar/data/1824734/000121390021011268/ea136272ex99-2_revolution.htm</v>
      </c>
      <c r="AA596" s="60">
        <f>IFERROR(__xludf.DUMMYFUNCTION("""COMPUTED_VALUE"""),1.65E8)</f>
        <v>165000000</v>
      </c>
      <c r="AB596" s="60">
        <f>IFERROR(__xludf.DUMMYFUNCTION("""COMPUTED_VALUE"""),2.741E9)</f>
        <v>2741000000</v>
      </c>
      <c r="AC596" s="60">
        <f>IFERROR(__xludf.DUMMYFUNCTION("""COMPUTED_VALUE"""),2.234E9)</f>
        <v>2234000000</v>
      </c>
      <c r="AD596" s="73"/>
      <c r="AE596" s="73"/>
      <c r="AF596" s="76">
        <f>IFERROR(__xludf.DUMMYFUNCTION("""COMPUTED_VALUE"""),2.741E8)</f>
        <v>274100000</v>
      </c>
      <c r="AG596" s="60">
        <f>IFERROR(__xludf.DUMMYFUNCTION("""COMPUTED_VALUE"""),2.820489E9)</f>
        <v>2820489000</v>
      </c>
    </row>
    <row r="597">
      <c r="A597" s="54" t="str">
        <f>IFERROR(__xludf.DUMMYFUNCTION("""COMPUTED_VALUE"""),"RACA")</f>
        <v>RACA</v>
      </c>
      <c r="B597" s="55" t="str">
        <f>IFERROR(__xludf.DUMMYFUNCTION("""COMPUTED_VALUE"""),"Therapeutics Acquisition Corp (d/b/a Research Alliance Corp)")</f>
        <v>Therapeutics Acquisition Corp (d/b/a Research Alliance Corp)</v>
      </c>
      <c r="C597" s="56" t="str">
        <f>IFERROR(__xludf.DUMMYFUNCTION("""COMPUTED_VALUE"""),"Definitive Agreement")</f>
        <v>Definitive Agreement</v>
      </c>
      <c r="D597" s="57" t="str">
        <f>IFERROR(__xludf.DUMMYFUNCTION("""COMPUTED_VALUE"""),"Healthcare")</f>
        <v>Healthcare</v>
      </c>
      <c r="E597" s="58" t="str">
        <f>IFERROR(__xludf.DUMMYFUNCTION("""COMPUTED_VALUE"""),"POINT Biopharma [DA: 03/15/21]")</f>
        <v>POINT Biopharma [DA: 03/15/21]</v>
      </c>
      <c r="F597" s="59"/>
      <c r="G597" s="60">
        <f>IFERROR(__xludf.DUMMYFUNCTION("""COMPUTED_VALUE"""),1.35706395E8)</f>
        <v>135706395</v>
      </c>
      <c r="H597" s="60">
        <f>IFERROR(__xludf.DUMMYFUNCTION("""COMPUTED_VALUE"""),1.47715528E8)</f>
        <v>147715528</v>
      </c>
      <c r="I597" s="66">
        <f>IFERROR(__xludf.DUMMYFUNCTION("""COMPUTED_VALUE"""),10.52)</f>
        <v>10.52</v>
      </c>
      <c r="J597" s="62">
        <f>IFERROR(__xludf.DUMMYFUNCTION("""COMPUTED_VALUE"""),0.01544)</f>
        <v>0.01544</v>
      </c>
      <c r="K597" s="59" t="str">
        <f>IFERROR(__xludf.DUMMYFUNCTION("""COMPUTED_VALUE""")," ")</f>
        <v> </v>
      </c>
      <c r="L597" s="87" t="str">
        <f>IFERROR(__xludf.DUMMYFUNCTION("""COMPUTED_VALUE""")," ")</f>
        <v> </v>
      </c>
      <c r="M597" s="64" t="str">
        <f>IFERROR(__xludf.DUMMYFUNCTION("""COMPUTED_VALUE"""),"U: [No units]; W: [No warrants]")</f>
        <v>U: [No units]; W: [No warrants]</v>
      </c>
      <c r="N597" s="65" t="str">
        <f>IFERROR(__xludf.DUMMYFUNCTION("""COMPUTED_VALUE"""),"")</f>
        <v/>
      </c>
      <c r="O597" s="66" t="str">
        <f>IFERROR(__xludf.DUMMYFUNCTION("""COMPUTED_VALUE"""),"")</f>
        <v/>
      </c>
      <c r="P597" s="67">
        <f>IFERROR(__xludf.DUMMYFUNCTION("""COMPUTED_VALUE"""),44020.0)</f>
        <v>44020</v>
      </c>
      <c r="Q597" s="68">
        <f>IFERROR(__xludf.DUMMYFUNCTION("""COMPUTED_VALUE"""),135.7)</f>
        <v>135.7</v>
      </c>
      <c r="R597" s="69" t="str">
        <f>IFERROR(__xludf.DUMMYFUNCTION("""COMPUTED_VALUE"""),"Jefferies")</f>
        <v>Jefferies</v>
      </c>
      <c r="S597" s="64">
        <f>IFERROR(__xludf.DUMMYFUNCTION("""COMPUTED_VALUE"""),44750.0)</f>
        <v>44750</v>
      </c>
      <c r="T597" s="70">
        <f>IFERROR(__xludf.DUMMYFUNCTION("""COMPUTED_VALUE"""),0.3780821917808219)</f>
        <v>0.3780821918</v>
      </c>
      <c r="U597" s="71" t="str">
        <f>IFERROR(__xludf.DUMMYFUNCTION("""COMPUTED_VALUE"""),"https://www.sec.gov/cgi-bin/browse-edgar?CIK=1811764")</f>
        <v>https://www.sec.gov/cgi-bin/browse-edgar?CIK=1811764</v>
      </c>
      <c r="V597" s="72" t="str">
        <f>IFERROR(__xludf.DUMMYFUNCTION("""COMPUTED_VALUE"""),"            ")</f>
        <v>            </v>
      </c>
      <c r="W597" s="73">
        <f>IFERROR(__xludf.DUMMYFUNCTION("""COMPUTED_VALUE"""),44270.0)</f>
        <v>44270</v>
      </c>
      <c r="X597" s="79">
        <f>IFERROR(__xludf.DUMMYFUNCTION("""COMPUTED_VALUE"""),8.333333333333334)</f>
        <v>8.333333333</v>
      </c>
      <c r="Y597" s="80" t="str">
        <f>IFERROR(__xludf.DUMMYFUNCTION("""COMPUTED_VALUE"""),"https://www.globenewswire.com/news-release/2021/03/15/2192554/0/en/Next-generation-Radiopharmaceuticals-Company-POINT-Biopharma-to-list-on-NASDAQ-through-merger-with-Research-Alliance-Corp-I.html")</f>
        <v>https://www.globenewswire.com/news-release/2021/03/15/2192554/0/en/Next-generation-Radiopharmaceuticals-Company-POINT-Biopharma-to-list-on-NASDAQ-through-merger-with-Research-Alliance-Corp-I.html</v>
      </c>
      <c r="Z597" s="81" t="str">
        <f>IFERROR(__xludf.DUMMYFUNCTION("""COMPUTED_VALUE"""),"https://www.sec.gov/Archives/edgar/data/1811764/000110465921035891/tm219698d1_ex99-2.htm")</f>
        <v>https://www.sec.gov/Archives/edgar/data/1811764/000110465921035891/tm219698d1_ex99-2.htm</v>
      </c>
      <c r="AA597" s="60">
        <f>IFERROR(__xludf.DUMMYFUNCTION("""COMPUTED_VALUE"""),1.65E8)</f>
        <v>165000000</v>
      </c>
      <c r="AB597" s="60">
        <f>IFERROR(__xludf.DUMMYFUNCTION("""COMPUTED_VALUE"""),9.243E8)</f>
        <v>924300000</v>
      </c>
      <c r="AC597" s="60">
        <f>IFERROR(__xludf.DUMMYFUNCTION("""COMPUTED_VALUE"""),6.39202E8)</f>
        <v>639202000</v>
      </c>
      <c r="AD597" s="73"/>
      <c r="AE597" s="73"/>
      <c r="AF597" s="76">
        <f>IFERROR(__xludf.DUMMYFUNCTION("""COMPUTED_VALUE"""),9.243E7)</f>
        <v>92430000</v>
      </c>
      <c r="AG597" s="60">
        <f>IFERROR(__xludf.DUMMYFUNCTION("""COMPUTED_VALUE"""),9.723636E8)</f>
        <v>972363600</v>
      </c>
    </row>
    <row r="598">
      <c r="A598" s="88" t="str">
        <f>IFERROR(__xludf.DUMMYFUNCTION("""COMPUTED_VALUE"""),"RACB")</f>
        <v>RACB</v>
      </c>
      <c r="B598" s="55" t="str">
        <f>IFERROR(__xludf.DUMMYFUNCTION("""COMPUTED_VALUE"""),"Research Alliance Corp. II")</f>
        <v>Research Alliance Corp. II</v>
      </c>
      <c r="C598" s="56" t="str">
        <f>IFERROR(__xludf.DUMMYFUNCTION("""COMPUTED_VALUE"""),"Searching")</f>
        <v>Searching</v>
      </c>
      <c r="D598" s="77" t="str">
        <f>IFERROR(__xludf.DUMMYFUNCTION("""COMPUTED_VALUE"""),"Healthcare, Biotech")</f>
        <v>Healthcare, Biotech</v>
      </c>
      <c r="E598" s="58"/>
      <c r="F598" s="59"/>
      <c r="G598" s="60">
        <f>IFERROR(__xludf.DUMMYFUNCTION("""COMPUTED_VALUE"""),1.495E8)</f>
        <v>149500000</v>
      </c>
      <c r="H598" s="60">
        <f>IFERROR(__xludf.DUMMYFUNCTION("""COMPUTED_VALUE"""),1.404E8)</f>
        <v>140400000</v>
      </c>
      <c r="I598" s="66">
        <f>IFERROR(__xludf.DUMMYFUNCTION("""COMPUTED_VALUE"""),10.8)</f>
        <v>10.8</v>
      </c>
      <c r="J598" s="62">
        <f>IFERROR(__xludf.DUMMYFUNCTION("""COMPUTED_VALUE"""),-0.03657)</f>
        <v>-0.03657</v>
      </c>
      <c r="K598" s="59" t="str">
        <f>IFERROR(__xludf.DUMMYFUNCTION("""COMPUTED_VALUE""")," ")</f>
        <v> </v>
      </c>
      <c r="L598" s="87" t="str">
        <f>IFERROR(__xludf.DUMMYFUNCTION("""COMPUTED_VALUE""")," ")</f>
        <v> </v>
      </c>
      <c r="M598" s="64" t="str">
        <f>IFERROR(__xludf.DUMMYFUNCTION("""COMPUTED_VALUE"""),"U: [No Units]; W: [No Warrants]")</f>
        <v>U: [No Units]; W: [No Warrants]</v>
      </c>
      <c r="N598" s="65" t="str">
        <f>IFERROR(__xludf.DUMMYFUNCTION("""COMPUTED_VALUE"""),"")</f>
        <v/>
      </c>
      <c r="O598" s="66">
        <f>IFERROR(__xludf.DUMMYFUNCTION("""COMPUTED_VALUE"""),0.0)</f>
        <v>0</v>
      </c>
      <c r="P598" s="67">
        <f>IFERROR(__xludf.DUMMYFUNCTION("""COMPUTED_VALUE"""),44273.0)</f>
        <v>44273</v>
      </c>
      <c r="Q598" s="68">
        <f>IFERROR(__xludf.DUMMYFUNCTION("""COMPUTED_VALUE"""),149.5)</f>
        <v>149.5</v>
      </c>
      <c r="R598" s="69" t="str">
        <f>IFERROR(__xludf.DUMMYFUNCTION("""COMPUTED_VALUE"""),"Jefferies")</f>
        <v>Jefferies</v>
      </c>
      <c r="S598" s="64">
        <f>IFERROR(__xludf.DUMMYFUNCTION("""COMPUTED_VALUE"""),45003.0)</f>
        <v>45003</v>
      </c>
      <c r="T598" s="70">
        <f>IFERROR(__xludf.DUMMYFUNCTION("""COMPUTED_VALUE"""),0.031506849315068496)</f>
        <v>0.03150684932</v>
      </c>
      <c r="U598" s="71" t="str">
        <f>IFERROR(__xludf.DUMMYFUNCTION("""COMPUTED_VALUE"""),"https://www.sec.gov/cgi-bin/browse-edgar?CIK=1819724")</f>
        <v>https://www.sec.gov/cgi-bin/browse-edgar?CIK=1819724</v>
      </c>
      <c r="V598" s="72" t="str">
        <f>IFERROR(__xludf.DUMMYFUNCTION("""COMPUTED_VALUE"""),"            ")</f>
        <v>            </v>
      </c>
      <c r="W598" s="73"/>
      <c r="X598" s="74"/>
      <c r="Y598" s="75"/>
      <c r="Z598" s="60"/>
      <c r="AA598" s="60"/>
      <c r="AB598" s="60"/>
      <c r="AC598" s="60"/>
      <c r="AD598" s="73"/>
      <c r="AE598" s="73"/>
      <c r="AF598" s="76"/>
      <c r="AG598" s="60"/>
    </row>
    <row r="599">
      <c r="A599" s="88" t="str">
        <f>IFERROR(__xludf.DUMMYFUNCTION("""COMPUTED_VALUE"""),"RAII")</f>
        <v>RAII</v>
      </c>
      <c r="B599" s="55" t="str">
        <f>IFERROR(__xludf.DUMMYFUNCTION("""COMPUTED_VALUE"""),"Revolution Acceleration Acquisition Corp II")</f>
        <v>Revolution Acceleration Acquisition Corp II</v>
      </c>
      <c r="C599" s="56" t="str">
        <f>IFERROR(__xludf.DUMMYFUNCTION("""COMPUTED_VALUE"""),"Pre IPO")</f>
        <v>Pre IPO</v>
      </c>
      <c r="D599" s="77" t="str">
        <f>IFERROR(__xludf.DUMMYFUNCTION("""COMPUTED_VALUE"""),"Financial Services, Healthcare, Tech, Consumer and Media")</f>
        <v>Financial Services, Healthcare, Tech, Consumer and Media</v>
      </c>
      <c r="E599" s="58"/>
      <c r="F599" s="59" t="str">
        <f>IFERROR(__xludf.DUMMYFUNCTION("""COMPUTED_VALUE"""),"Steve Case (Fmr CEO, AOL; CEO, Revolution), John Delaney (Fmr US House Rep), Robert Bass (Director of Redfin, Groupon, and Former Vice Chairman of Deloitte)")</f>
        <v>Steve Case (Fmr CEO, AOL; CEO, Revolution), John Delaney (Fmr US House Rep), Robert Bass (Director of Redfin, Groupon, and Former Vice Chairman of Deloitte)</v>
      </c>
      <c r="G599" s="60">
        <f>IFERROR(__xludf.DUMMYFUNCTION("""COMPUTED_VALUE"""),2.5E8)</f>
        <v>250000000</v>
      </c>
      <c r="H599" s="60" t="str">
        <f>IFERROR(__xludf.DUMMYFUNCTION("""COMPUTED_VALUE""")," ")</f>
        <v> </v>
      </c>
      <c r="I599" s="66" t="str">
        <f>IFERROR(__xludf.DUMMYFUNCTION("""COMPUTED_VALUE""")," ")</f>
        <v> </v>
      </c>
      <c r="J599" s="62" t="str">
        <f>IFERROR(__xludf.DUMMYFUNCTION("""COMPUTED_VALUE""")," ")</f>
        <v> </v>
      </c>
      <c r="K599" s="59" t="str">
        <f>IFERROR(__xludf.DUMMYFUNCTION("""COMPUTED_VALUE""")," ")</f>
        <v> </v>
      </c>
      <c r="L599" s="87" t="str">
        <f>IFERROR(__xludf.DUMMYFUNCTION("""COMPUTED_VALUE""")," ")</f>
        <v> </v>
      </c>
      <c r="M599" s="64" t="str">
        <f>IFERROR(__xludf.DUMMYFUNCTION("""COMPUTED_VALUE"""),"U: [1/4 W]; W: [1:1, $11.5]")</f>
        <v>U: [1/4 W]; W: [1:1, $11.5]</v>
      </c>
      <c r="N599" s="65" t="str">
        <f>IFERROR(__xludf.DUMMYFUNCTION("""COMPUTED_VALUE"""),"")</f>
        <v/>
      </c>
      <c r="O599" s="66">
        <f>IFERROR(__xludf.DUMMYFUNCTION("""COMPUTED_VALUE"""),0.0)</f>
        <v>0</v>
      </c>
      <c r="P599" s="67"/>
      <c r="Q599" s="68">
        <f>IFERROR(__xludf.DUMMYFUNCTION("""COMPUTED_VALUE"""),250.0)</f>
        <v>250</v>
      </c>
      <c r="R599" s="69" t="str">
        <f>IFERROR(__xludf.DUMMYFUNCTION("""COMPUTED_VALUE"""),"Credit Suisse")</f>
        <v>Credit Suisse</v>
      </c>
      <c r="S599" s="64">
        <f>IFERROR(__xludf.DUMMYFUNCTION("""COMPUTED_VALUE"""),45086.0)</f>
        <v>45086</v>
      </c>
      <c r="T599" s="70" t="str">
        <f>IFERROR(__xludf.DUMMYFUNCTION("""COMPUTED_VALUE"""),"")</f>
        <v/>
      </c>
      <c r="U599" s="71" t="str">
        <f>IFERROR(__xludf.DUMMYFUNCTION("""COMPUTED_VALUE"""),"https://www.sec.gov/cgi-bin/browse-edgar?CIK=1845184")</f>
        <v>https://www.sec.gov/cgi-bin/browse-edgar?CIK=1845184</v>
      </c>
      <c r="V599" s="72" t="str">
        <f>IFERROR(__xludf.DUMMYFUNCTION("""COMPUTED_VALUE"""),"         Well-known Sponsor   ")</f>
        <v>         Well-known Sponsor   </v>
      </c>
      <c r="W599" s="73"/>
      <c r="X599" s="74"/>
      <c r="Y599" s="75"/>
      <c r="Z599" s="60"/>
      <c r="AA599" s="60"/>
      <c r="AB599" s="60"/>
      <c r="AC599" s="60"/>
      <c r="AD599" s="73"/>
      <c r="AE599" s="73"/>
      <c r="AF599" s="76"/>
      <c r="AG599" s="60"/>
    </row>
    <row r="600">
      <c r="A600" s="88" t="str">
        <f>IFERROR(__xludf.DUMMYFUNCTION("""COMPUTED_VALUE"""),"RAM")</f>
        <v>RAM</v>
      </c>
      <c r="B600" s="55" t="str">
        <f>IFERROR(__xludf.DUMMYFUNCTION("""COMPUTED_VALUE"""),"Aries I Acquisition Corp.")</f>
        <v>Aries I Acquisition Corp.</v>
      </c>
      <c r="C600" s="56" t="str">
        <f>IFERROR(__xludf.DUMMYFUNCTION("""COMPUTED_VALUE"""),"Pre IPO")</f>
        <v>Pre IPO</v>
      </c>
      <c r="D600" s="77" t="str">
        <f>IFERROR(__xludf.DUMMYFUNCTION("""COMPUTED_VALUE"""),"Tech")</f>
        <v>Tech</v>
      </c>
      <c r="E600" s="58"/>
      <c r="F600" s="59" t="str">
        <f>IFERROR(__xludf.DUMMYFUNCTION("""COMPUTED_VALUE"""),"Thane Ritchie")</f>
        <v>Thane Ritchie</v>
      </c>
      <c r="G600" s="60">
        <f>IFERROR(__xludf.DUMMYFUNCTION("""COMPUTED_VALUE"""),1.75E8)</f>
        <v>175000000</v>
      </c>
      <c r="H600" s="60" t="str">
        <f>IFERROR(__xludf.DUMMYFUNCTION("""COMPUTED_VALUE""")," ")</f>
        <v> </v>
      </c>
      <c r="I600" s="66" t="str">
        <f>IFERROR(__xludf.DUMMYFUNCTION("""COMPUTED_VALUE""")," ")</f>
        <v> </v>
      </c>
      <c r="J600" s="62" t="str">
        <f>IFERROR(__xludf.DUMMYFUNCTION("""COMPUTED_VALUE""")," ")</f>
        <v> </v>
      </c>
      <c r="K600" s="59" t="str">
        <f>IFERROR(__xludf.DUMMYFUNCTION("""COMPUTED_VALUE""")," ")</f>
        <v> </v>
      </c>
      <c r="L600" s="87" t="str">
        <f>IFERROR(__xludf.DUMMYFUNCTION("""COMPUTED_VALUE""")," ")</f>
        <v> </v>
      </c>
      <c r="M600" s="64" t="str">
        <f>IFERROR(__xludf.DUMMYFUNCTION("""COMPUTED_VALUE"""),"U: [1/3 W]; W: [1:1, $11.5]")</f>
        <v>U: [1/3 W]; W: [1:1, $11.5]</v>
      </c>
      <c r="N600" s="65" t="str">
        <f>IFERROR(__xludf.DUMMYFUNCTION("""COMPUTED_VALUE"""),"")</f>
        <v/>
      </c>
      <c r="O600" s="66">
        <f>IFERROR(__xludf.DUMMYFUNCTION("""COMPUTED_VALUE"""),0.0)</f>
        <v>0</v>
      </c>
      <c r="P600" s="67"/>
      <c r="Q600" s="68">
        <f>IFERROR(__xludf.DUMMYFUNCTION("""COMPUTED_VALUE"""),175.0)</f>
        <v>175</v>
      </c>
      <c r="R600" s="69" t="str">
        <f>IFERROR(__xludf.DUMMYFUNCTION("""COMPUTED_VALUE"""),"Wells Fargo Securities")</f>
        <v>Wells Fargo Securities</v>
      </c>
      <c r="S600" s="64">
        <f>IFERROR(__xludf.DUMMYFUNCTION("""COMPUTED_VALUE"""),45086.0)</f>
        <v>45086</v>
      </c>
      <c r="T600" s="70" t="str">
        <f>IFERROR(__xludf.DUMMYFUNCTION("""COMPUTED_VALUE"""),"")</f>
        <v/>
      </c>
      <c r="U600" s="71" t="str">
        <f>IFERROR(__xludf.DUMMYFUNCTION("""COMPUTED_VALUE"""),"https://www.sec.gov/cgi-bin/browse-edgar?CIK=1841867")</f>
        <v>https://www.sec.gov/cgi-bin/browse-edgar?CIK=1841867</v>
      </c>
      <c r="V600" s="72" t="str">
        <f>IFERROR(__xludf.DUMMYFUNCTION("""COMPUTED_VALUE"""),"            ")</f>
        <v>            </v>
      </c>
      <c r="W600" s="73"/>
      <c r="X600" s="74"/>
      <c r="Y600" s="75"/>
      <c r="Z600" s="60"/>
      <c r="AA600" s="60"/>
      <c r="AB600" s="60"/>
      <c r="AC600" s="60"/>
      <c r="AD600" s="73"/>
      <c r="AE600" s="73"/>
      <c r="AF600" s="76"/>
      <c r="AG600" s="60"/>
    </row>
    <row r="601">
      <c r="A601" s="54" t="str">
        <f>IFERROR(__xludf.DUMMYFUNCTION("""COMPUTED_VALUE"""),"RBAC")</f>
        <v>RBAC</v>
      </c>
      <c r="B601" s="55" t="str">
        <f>IFERROR(__xludf.DUMMYFUNCTION("""COMPUTED_VALUE"""),"RedBall Acquisition Corp.")</f>
        <v>RedBall Acquisition Corp.</v>
      </c>
      <c r="C601" s="56" t="str">
        <f>IFERROR(__xludf.DUMMYFUNCTION("""COMPUTED_VALUE"""),"Searching")</f>
        <v>Searching</v>
      </c>
      <c r="D601" s="57" t="str">
        <f>IFERROR(__xludf.DUMMYFUNCTION("""COMPUTED_VALUE"""),"Sports, Media, Data Analytics, Professional Sports Franchises")</f>
        <v>Sports, Media, Data Analytics, Professional Sports Franchises</v>
      </c>
      <c r="E601" s="58"/>
      <c r="F601" s="59" t="str">
        <f>IFERROR(__xludf.DUMMYFUNCTION("""COMPUTED_VALUE"""),"Gerald Cardinale (Founder, RedBird), Billy Beane (Exec VP, Oakland A's)")</f>
        <v>Gerald Cardinale (Founder, RedBird), Billy Beane (Exec VP, Oakland A's)</v>
      </c>
      <c r="G601" s="60">
        <f>IFERROR(__xludf.DUMMYFUNCTION("""COMPUTED_VALUE"""),5.75282641E8)</f>
        <v>575282641</v>
      </c>
      <c r="H601" s="60">
        <f>IFERROR(__xludf.DUMMYFUNCTION("""COMPUTED_VALUE"""),5.79025E8)</f>
        <v>579025000</v>
      </c>
      <c r="I601" s="66">
        <f>IFERROR(__xludf.DUMMYFUNCTION("""COMPUTED_VALUE"""),10.07)</f>
        <v>10.07</v>
      </c>
      <c r="J601" s="62">
        <f>IFERROR(__xludf.DUMMYFUNCTION("""COMPUTED_VALUE"""),0.00299)</f>
        <v>0.00299</v>
      </c>
      <c r="K601" s="59">
        <f>IFERROR(__xludf.DUMMYFUNCTION("""COMPUTED_VALUE"""),10.45)</f>
        <v>10.45</v>
      </c>
      <c r="L601" s="87">
        <f>IFERROR(__xludf.DUMMYFUNCTION("""COMPUTED_VALUE"""),1.42)</f>
        <v>1.42</v>
      </c>
      <c r="M601" s="64" t="str">
        <f>IFERROR(__xludf.DUMMYFUNCTION("""COMPUTED_VALUE"""),"U: [1/3 W]; W: [1:1, $11.5]")</f>
        <v>U: [1/3 W]; W: [1:1, $11.5]</v>
      </c>
      <c r="N601" s="65" t="str">
        <f>IFERROR(__xludf.DUMMYFUNCTION("""COMPUTED_VALUE"""),"")</f>
        <v/>
      </c>
      <c r="O601" s="66">
        <f>IFERROR(__xludf.DUMMYFUNCTION("""COMPUTED_VALUE"""),0.0)</f>
        <v>0</v>
      </c>
      <c r="P601" s="67">
        <f>IFERROR(__xludf.DUMMYFUNCTION("""COMPUTED_VALUE"""),44055.0)</f>
        <v>44055</v>
      </c>
      <c r="Q601" s="68">
        <f>IFERROR(__xludf.DUMMYFUNCTION("""COMPUTED_VALUE"""),575.0)</f>
        <v>575</v>
      </c>
      <c r="R601" s="69" t="str">
        <f>IFERROR(__xludf.DUMMYFUNCTION("""COMPUTED_VALUE"""),"Goldman Sachs")</f>
        <v>Goldman Sachs</v>
      </c>
      <c r="S601" s="64">
        <f>IFERROR(__xludf.DUMMYFUNCTION("""COMPUTED_VALUE"""),44785.0)</f>
        <v>44785</v>
      </c>
      <c r="T601" s="70">
        <f>IFERROR(__xludf.DUMMYFUNCTION("""COMPUTED_VALUE"""),0.33013698630136984)</f>
        <v>0.3301369863</v>
      </c>
      <c r="U601" s="71" t="str">
        <f>IFERROR(__xludf.DUMMYFUNCTION("""COMPUTED_VALUE"""),"https://www.sec.gov/cgi-bin/browse-edgar?CIK=1815184")</f>
        <v>https://www.sec.gov/cgi-bin/browse-edgar?CIK=1815184</v>
      </c>
      <c r="V601" s="72" t="str">
        <f>IFERROR(__xludf.DUMMYFUNCTION("""COMPUTED_VALUE"""),"   $500M+ Trust Optionable    Well-known Sponsor  Top Tier UW ")</f>
        <v>   $500M+ Trust Optionable    Well-known Sponsor  Top Tier UW </v>
      </c>
      <c r="W601" s="73"/>
      <c r="X601" s="74"/>
      <c r="Y601" s="75"/>
      <c r="Z601" s="60"/>
      <c r="AA601" s="60"/>
      <c r="AB601" s="60"/>
      <c r="AC601" s="60"/>
      <c r="AD601" s="73"/>
      <c r="AE601" s="73"/>
      <c r="AF601" s="76"/>
      <c r="AG601" s="60" t="str">
        <f>IFERROR(__xludf.DUMMYFUNCTION("""COMPUTED_VALUE"""),"")</f>
        <v/>
      </c>
    </row>
    <row r="602">
      <c r="A602" s="88" t="str">
        <f>IFERROR(__xludf.DUMMYFUNCTION("""COMPUTED_VALUE"""),"RCDA")</f>
        <v>RCDA</v>
      </c>
      <c r="B602" s="55" t="str">
        <f>IFERROR(__xludf.DUMMYFUNCTION("""COMPUTED_VALUE"""),"Red Cell DRM Acquisition Corp.")</f>
        <v>Red Cell DRM Acquisition Corp.</v>
      </c>
      <c r="C602" s="56" t="str">
        <f>IFERROR(__xludf.DUMMYFUNCTION("""COMPUTED_VALUE"""),"Pre IPO")</f>
        <v>Pre IPO</v>
      </c>
      <c r="D602" s="77" t="str">
        <f>IFERROR(__xludf.DUMMYFUNCTION("""COMPUTED_VALUE"""),"Renewable and Transition Energy, Sustainability")</f>
        <v>Renewable and Transition Energy, Sustainability</v>
      </c>
      <c r="E602" s="58"/>
      <c r="F602" s="59"/>
      <c r="G602" s="60">
        <f>IFERROR(__xludf.DUMMYFUNCTION("""COMPUTED_VALUE"""),2.5E8)</f>
        <v>250000000</v>
      </c>
      <c r="H602" s="60" t="str">
        <f>IFERROR(__xludf.DUMMYFUNCTION("""COMPUTED_VALUE""")," ")</f>
        <v> </v>
      </c>
      <c r="I602" s="66" t="str">
        <f>IFERROR(__xludf.DUMMYFUNCTION("""COMPUTED_VALUE""")," ")</f>
        <v> </v>
      </c>
      <c r="J602" s="62" t="str">
        <f>IFERROR(__xludf.DUMMYFUNCTION("""COMPUTED_VALUE""")," ")</f>
        <v> </v>
      </c>
      <c r="K602" s="59" t="str">
        <f>IFERROR(__xludf.DUMMYFUNCTION("""COMPUTED_VALUE""")," ")</f>
        <v> </v>
      </c>
      <c r="L602" s="87" t="str">
        <f>IFERROR(__xludf.DUMMYFUNCTION("""COMPUTED_VALUE""")," ")</f>
        <v> </v>
      </c>
      <c r="M602" s="64" t="str">
        <f>IFERROR(__xludf.DUMMYFUNCTION("""COMPUTED_VALUE"""),"U: [1/3 W]; W: [1:1, $11.5]")</f>
        <v>U: [1/3 W]; W: [1:1, $11.5]</v>
      </c>
      <c r="N602" s="65" t="str">
        <f>IFERROR(__xludf.DUMMYFUNCTION("""COMPUTED_VALUE"""),"")</f>
        <v/>
      </c>
      <c r="O602" s="66">
        <f>IFERROR(__xludf.DUMMYFUNCTION("""COMPUTED_VALUE"""),0.0)</f>
        <v>0</v>
      </c>
      <c r="P602" s="67"/>
      <c r="Q602" s="68">
        <f>IFERROR(__xludf.DUMMYFUNCTION("""COMPUTED_VALUE"""),250.0)</f>
        <v>250</v>
      </c>
      <c r="R602" s="69" t="str">
        <f>IFERROR(__xludf.DUMMYFUNCTION("""COMPUTED_VALUE"""),"Credit Suisse")</f>
        <v>Credit Suisse</v>
      </c>
      <c r="S602" s="64">
        <f>IFERROR(__xludf.DUMMYFUNCTION("""COMPUTED_VALUE"""),45086.0)</f>
        <v>45086</v>
      </c>
      <c r="T602" s="70" t="str">
        <f>IFERROR(__xludf.DUMMYFUNCTION("""COMPUTED_VALUE"""),"")</f>
        <v/>
      </c>
      <c r="U602" s="71" t="str">
        <f>IFERROR(__xludf.DUMMYFUNCTION("""COMPUTED_VALUE"""),"https://www.sec.gov/cgi-bin/browse-edgar?CIK=1849801")</f>
        <v>https://www.sec.gov/cgi-bin/browse-edgar?CIK=1849801</v>
      </c>
      <c r="V602" s="72" t="str">
        <f>IFERROR(__xludf.DUMMYFUNCTION("""COMPUTED_VALUE"""),"            ")</f>
        <v>            </v>
      </c>
      <c r="W602" s="73"/>
      <c r="X602" s="74"/>
      <c r="Y602" s="75"/>
      <c r="Z602" s="60"/>
      <c r="AA602" s="60"/>
      <c r="AB602" s="60"/>
      <c r="AC602" s="60"/>
      <c r="AD602" s="73"/>
      <c r="AE602" s="73"/>
      <c r="AF602" s="76"/>
      <c r="AG602" s="60"/>
    </row>
    <row r="603">
      <c r="A603" s="54" t="str">
        <f>IFERROR(__xludf.DUMMYFUNCTION("""COMPUTED_VALUE"""),"RCHG")</f>
        <v>RCHG</v>
      </c>
      <c r="B603" s="55" t="str">
        <f>IFERROR(__xludf.DUMMYFUNCTION("""COMPUTED_VALUE"""),"Recharge Acquisition Corp")</f>
        <v>Recharge Acquisition Corp</v>
      </c>
      <c r="C603" s="56" t="str">
        <f>IFERROR(__xludf.DUMMYFUNCTION("""COMPUTED_VALUE"""),"Searching")</f>
        <v>Searching</v>
      </c>
      <c r="D603" s="57"/>
      <c r="E603" s="58"/>
      <c r="F603" s="59" t="str">
        <f>IFERROR(__xludf.DUMMYFUNCTION("""COMPUTED_VALUE"""),"Anthony Kenney (Fmr President, Speedway Division of Marathon), Mitchell Steenrod (former CFO, Pilot Flying J, Board of CarMax), John Bachman (Fmr COO of assurance practice, PwC)")</f>
        <v>Anthony Kenney (Fmr President, Speedway Division of Marathon), Mitchell Steenrod (former CFO, Pilot Flying J, Board of CarMax), John Bachman (Fmr COO of assurance practice, PwC)</v>
      </c>
      <c r="G603" s="60">
        <f>IFERROR(__xludf.DUMMYFUNCTION("""COMPUTED_VALUE"""),2.02439643E8)</f>
        <v>202439643</v>
      </c>
      <c r="H603" s="60">
        <f>IFERROR(__xludf.DUMMYFUNCTION("""COMPUTED_VALUE"""),2.004E8)</f>
        <v>200400000</v>
      </c>
      <c r="I603" s="66">
        <f>IFERROR(__xludf.DUMMYFUNCTION("""COMPUTED_VALUE"""),10.0)</f>
        <v>10</v>
      </c>
      <c r="J603" s="62">
        <f>IFERROR(__xludf.DUMMYFUNCTION("""COMPUTED_VALUE"""),0.00908)</f>
        <v>0.00908</v>
      </c>
      <c r="K603" s="59">
        <f>IFERROR(__xludf.DUMMYFUNCTION("""COMPUTED_VALUE"""),10.3)</f>
        <v>10.3</v>
      </c>
      <c r="L603" s="87">
        <f>IFERROR(__xludf.DUMMYFUNCTION("""COMPUTED_VALUE"""),0.8151)</f>
        <v>0.8151</v>
      </c>
      <c r="M603" s="64" t="str">
        <f>IFERROR(__xludf.DUMMYFUNCTION("""COMPUTED_VALUE"""),"U: [1/2 W]; W: [1:1, $11.5]")</f>
        <v>U: [1/2 W]; W: [1:1, $11.5]</v>
      </c>
      <c r="N603" s="65" t="str">
        <f>IFERROR(__xludf.DUMMYFUNCTION("""COMPUTED_VALUE"""),"")</f>
        <v/>
      </c>
      <c r="O603" s="66">
        <f>IFERROR(__xludf.DUMMYFUNCTION("""COMPUTED_VALUE"""),0.0)</f>
        <v>0</v>
      </c>
      <c r="P603" s="67">
        <f>IFERROR(__xludf.DUMMYFUNCTION("""COMPUTED_VALUE"""),44104.0)</f>
        <v>44104</v>
      </c>
      <c r="Q603" s="68">
        <f>IFERROR(__xludf.DUMMYFUNCTION("""COMPUTED_VALUE"""),202.0)</f>
        <v>202</v>
      </c>
      <c r="R603" s="69" t="str">
        <f>IFERROR(__xludf.DUMMYFUNCTION("""COMPUTED_VALUE"""),"Raymond James, EarlyBirdCapital")</f>
        <v>Raymond James, EarlyBirdCapital</v>
      </c>
      <c r="S603" s="64">
        <f>IFERROR(__xludf.DUMMYFUNCTION("""COMPUTED_VALUE"""),44834.0)</f>
        <v>44834</v>
      </c>
      <c r="T603" s="70">
        <f>IFERROR(__xludf.DUMMYFUNCTION("""COMPUTED_VALUE"""),0.26301369863013696)</f>
        <v>0.2630136986</v>
      </c>
      <c r="U603" s="71" t="str">
        <f>IFERROR(__xludf.DUMMYFUNCTION("""COMPUTED_VALUE"""),"https://www.sec.gov/cgi-bin/browse-edgar?CIK=1817786")</f>
        <v>https://www.sec.gov/cgi-bin/browse-edgar?CIK=1817786</v>
      </c>
      <c r="V603" s="72" t="str">
        <f>IFERROR(__xludf.DUMMYFUNCTION("""COMPUTED_VALUE""")," Trading Below $10 (Common)           ")</f>
        <v> Trading Below $10 (Common)           </v>
      </c>
      <c r="W603" s="73"/>
      <c r="X603" s="74"/>
      <c r="Y603" s="75"/>
      <c r="Z603" s="60"/>
      <c r="AA603" s="60"/>
      <c r="AB603" s="60"/>
      <c r="AC603" s="60"/>
      <c r="AD603" s="73"/>
      <c r="AE603" s="73"/>
      <c r="AF603" s="76"/>
      <c r="AG603" s="60" t="str">
        <f>IFERROR(__xludf.DUMMYFUNCTION("""COMPUTED_VALUE"""),"")</f>
        <v/>
      </c>
    </row>
    <row r="604">
      <c r="A604" s="54" t="str">
        <f>IFERROR(__xludf.DUMMYFUNCTION("""COMPUTED_VALUE"""),"RCLF")</f>
        <v>RCLF</v>
      </c>
      <c r="B604" s="55" t="str">
        <f>IFERROR(__xludf.DUMMYFUNCTION("""COMPUTED_VALUE"""),"Rosecliff Acquisition Corp I")</f>
        <v>Rosecliff Acquisition Corp I</v>
      </c>
      <c r="C604" s="56" t="str">
        <f>IFERROR(__xludf.DUMMYFUNCTION("""COMPUTED_VALUE"""),"Searching")</f>
        <v>Searching</v>
      </c>
      <c r="D604" s="57" t="str">
        <f>IFERROR(__xludf.DUMMYFUNCTION("""COMPUTED_VALUE"""),"Tech")</f>
        <v>Tech</v>
      </c>
      <c r="E604" s="58"/>
      <c r="F604" s="59" t="str">
        <f>IFERROR(__xludf.DUMMYFUNCTION("""COMPUTED_VALUE"""),"Michael Murphy (Founder/MP, Rosecliff Capital), Jordan Zimmerman (Founder, Zimmerman Advertising)")</f>
        <v>Michael Murphy (Founder/MP, Rosecliff Capital), Jordan Zimmerman (Founder, Zimmerman Advertising)</v>
      </c>
      <c r="G604" s="60">
        <f>IFERROR(__xludf.DUMMYFUNCTION("""COMPUTED_VALUE"""),2.53E8)</f>
        <v>253000000</v>
      </c>
      <c r="H604" s="60">
        <f>IFERROR(__xludf.DUMMYFUNCTION("""COMPUTED_VALUE"""),2.457895E8)</f>
        <v>245789500</v>
      </c>
      <c r="I604" s="66">
        <f>IFERROR(__xludf.DUMMYFUNCTION("""COMPUTED_VALUE"""),9.715)</f>
        <v>9.715</v>
      </c>
      <c r="J604" s="62">
        <f>IFERROR(__xludf.DUMMYFUNCTION("""COMPUTED_VALUE"""),-0.00359)</f>
        <v>-0.00359</v>
      </c>
      <c r="K604" s="59">
        <f>IFERROR(__xludf.DUMMYFUNCTION("""COMPUTED_VALUE"""),10.0)</f>
        <v>10</v>
      </c>
      <c r="L604" s="87">
        <f>IFERROR(__xludf.DUMMYFUNCTION("""COMPUTED_VALUE"""),0.8)</f>
        <v>0.8</v>
      </c>
      <c r="M604" s="64" t="str">
        <f>IFERROR(__xludf.DUMMYFUNCTION("""COMPUTED_VALUE"""),"U: [1/3 W]; W: [1:1, $11.5]")</f>
        <v>U: [1/3 W]; W: [1:1, $11.5]</v>
      </c>
      <c r="N604" s="65">
        <f>IFERROR(__xludf.DUMMYFUNCTION("""COMPUTED_VALUE"""),44281.0)</f>
        <v>44281</v>
      </c>
      <c r="O604" s="66">
        <f>IFERROR(__xludf.DUMMYFUNCTION("""COMPUTED_VALUE"""),0.0)</f>
        <v>0</v>
      </c>
      <c r="P604" s="67">
        <f>IFERROR(__xludf.DUMMYFUNCTION("""COMPUTED_VALUE"""),44238.0)</f>
        <v>44238</v>
      </c>
      <c r="Q604" s="68">
        <f>IFERROR(__xludf.DUMMYFUNCTION("""COMPUTED_VALUE"""),253.0)</f>
        <v>253</v>
      </c>
      <c r="R604" s="69" t="str">
        <f>IFERROR(__xludf.DUMMYFUNCTION("""COMPUTED_VALUE"""),"BTIG")</f>
        <v>BTIG</v>
      </c>
      <c r="S604" s="64">
        <f>IFERROR(__xludf.DUMMYFUNCTION("""COMPUTED_VALUE"""),44968.0)</f>
        <v>44968</v>
      </c>
      <c r="T604" s="70">
        <f>IFERROR(__xludf.DUMMYFUNCTION("""COMPUTED_VALUE"""),0.07945205479452055)</f>
        <v>0.07945205479</v>
      </c>
      <c r="U604" s="71" t="str">
        <f>IFERROR(__xludf.DUMMYFUNCTION("""COMPUTED_VALUE"""),"https://www.sec.gov/cgi-bin/browse-edgar?CIK=1833498")</f>
        <v>https://www.sec.gov/cgi-bin/browse-edgar?CIK=1833498</v>
      </c>
      <c r="V604" s="72" t="str">
        <f>IFERROR(__xludf.DUMMYFUNCTION("""COMPUTED_VALUE""")," Trading Below $10 (Common)        Well-known Sponsor   ")</f>
        <v> Trading Below $10 (Common)        Well-known Sponsor   </v>
      </c>
      <c r="W604" s="73"/>
      <c r="X604" s="74"/>
      <c r="Y604" s="75"/>
      <c r="Z604" s="60"/>
      <c r="AA604" s="60"/>
      <c r="AB604" s="60"/>
      <c r="AC604" s="60"/>
      <c r="AD604" s="73"/>
      <c r="AE604" s="73"/>
      <c r="AF604" s="76"/>
      <c r="AG604" s="60" t="str">
        <f>IFERROR(__xludf.DUMMYFUNCTION("""COMPUTED_VALUE"""),"")</f>
        <v/>
      </c>
    </row>
    <row r="605">
      <c r="A605" s="88" t="str">
        <f>IFERROR(__xludf.DUMMYFUNCTION("""COMPUTED_VALUE"""),"RCPI")</f>
        <v>RCPI</v>
      </c>
      <c r="B605" s="55" t="str">
        <f>IFERROR(__xludf.DUMMYFUNCTION("""COMPUTED_VALUE"""),"Reverence Acquisition Corp.")</f>
        <v>Reverence Acquisition Corp.</v>
      </c>
      <c r="C605" s="56" t="str">
        <f>IFERROR(__xludf.DUMMYFUNCTION("""COMPUTED_VALUE"""),"Pre IPO")</f>
        <v>Pre IPO</v>
      </c>
      <c r="D605" s="77" t="str">
        <f>IFERROR(__xludf.DUMMYFUNCTION("""COMPUTED_VALUE"""),"Financial Services, Fintech")</f>
        <v>Financial Services, Fintech</v>
      </c>
      <c r="E605" s="58"/>
      <c r="F605" s="59"/>
      <c r="G605" s="60">
        <f>IFERROR(__xludf.DUMMYFUNCTION("""COMPUTED_VALUE"""),3.0E8)</f>
        <v>300000000</v>
      </c>
      <c r="H605" s="60" t="str">
        <f>IFERROR(__xludf.DUMMYFUNCTION("""COMPUTED_VALUE""")," ")</f>
        <v> </v>
      </c>
      <c r="I605" s="66" t="str">
        <f>IFERROR(__xludf.DUMMYFUNCTION("""COMPUTED_VALUE""")," ")</f>
        <v> </v>
      </c>
      <c r="J605" s="62" t="str">
        <f>IFERROR(__xludf.DUMMYFUNCTION("""COMPUTED_VALUE""")," ")</f>
        <v> </v>
      </c>
      <c r="K605" s="59" t="str">
        <f>IFERROR(__xludf.DUMMYFUNCTION("""COMPUTED_VALUE""")," ")</f>
        <v> </v>
      </c>
      <c r="L605" s="87" t="str">
        <f>IFERROR(__xludf.DUMMYFUNCTION("""COMPUTED_VALUE""")," ")</f>
        <v> </v>
      </c>
      <c r="M605" s="64" t="str">
        <f>IFERROR(__xludf.DUMMYFUNCTION("""COMPUTED_VALUE"""),"U: [1/2 W]; W: [1:1, $11.5]")</f>
        <v>U: [1/2 W]; W: [1:1, $11.5]</v>
      </c>
      <c r="N605" s="65" t="str">
        <f>IFERROR(__xludf.DUMMYFUNCTION("""COMPUTED_VALUE"""),"")</f>
        <v/>
      </c>
      <c r="O605" s="66">
        <f>IFERROR(__xludf.DUMMYFUNCTION("""COMPUTED_VALUE"""),0.0)</f>
        <v>0</v>
      </c>
      <c r="P605" s="67"/>
      <c r="Q605" s="68">
        <f>IFERROR(__xludf.DUMMYFUNCTION("""COMPUTED_VALUE"""),300.0)</f>
        <v>300</v>
      </c>
      <c r="R605" s="69" t="str">
        <f>IFERROR(__xludf.DUMMYFUNCTION("""COMPUTED_VALUE"""),"Goldman Sachs &amp; Co. LLC, Citigroup, Cantor")</f>
        <v>Goldman Sachs &amp; Co. LLC, Citigroup, Cantor</v>
      </c>
      <c r="S605" s="64">
        <f>IFERROR(__xludf.DUMMYFUNCTION("""COMPUTED_VALUE"""),45086.0)</f>
        <v>45086</v>
      </c>
      <c r="T605" s="70" t="str">
        <f>IFERROR(__xludf.DUMMYFUNCTION("""COMPUTED_VALUE"""),"")</f>
        <v/>
      </c>
      <c r="U605" s="71" t="str">
        <f>IFERROR(__xludf.DUMMYFUNCTION("""COMPUTED_VALUE"""),"https://www.sec.gov/cgi-bin/browse-edgar?CIK=1849840")</f>
        <v>https://www.sec.gov/cgi-bin/browse-edgar?CIK=1849840</v>
      </c>
      <c r="V605" s="72" t="str">
        <f>IFERROR(__xludf.DUMMYFUNCTION("""COMPUTED_VALUE"""),"           Top Tier UW ")</f>
        <v>           Top Tier UW </v>
      </c>
      <c r="W605" s="73"/>
      <c r="X605" s="74"/>
      <c r="Y605" s="75"/>
      <c r="Z605" s="60"/>
      <c r="AA605" s="60"/>
      <c r="AB605" s="60"/>
      <c r="AC605" s="60"/>
      <c r="AD605" s="73"/>
      <c r="AE605" s="73"/>
      <c r="AF605" s="76"/>
      <c r="AG605" s="60"/>
    </row>
    <row r="606">
      <c r="A606" s="88" t="str">
        <f>IFERROR(__xludf.DUMMYFUNCTION("""COMPUTED_VALUE"""),"REVH")</f>
        <v>REVH</v>
      </c>
      <c r="B606" s="55" t="str">
        <f>IFERROR(__xludf.DUMMYFUNCTION("""COMPUTED_VALUE"""),"Revolution Healthcare Acquisition Corp.")</f>
        <v>Revolution Healthcare Acquisition Corp.</v>
      </c>
      <c r="C606" s="56" t="str">
        <f>IFERROR(__xludf.DUMMYFUNCTION("""COMPUTED_VALUE"""),"Searching (Pre Unit Split)")</f>
        <v>Searching (Pre Unit Split)</v>
      </c>
      <c r="D606" s="77" t="str">
        <f>IFERROR(__xludf.DUMMYFUNCTION("""COMPUTED_VALUE"""),"Healthcare, Healthcare Tech, Life Sciences")</f>
        <v>Healthcare, Healthcare Tech, Life Sciences</v>
      </c>
      <c r="E606" s="58"/>
      <c r="F606" s="59" t="str">
        <f>IFERROR(__xludf.DUMMYFUNCTION("""COMPUTED_VALUE"""),"Jeff Leiden (Exec Chairman/Fmr CEO, Vertex Pharmaceuticals; Fmr COO, Abbott Laboratories), Robert Nelsen (Co-founder/Managing Director, ARCH), Jennifer Schneider (Fmr Pres/Chief Medical Officer, Livongo Health), Hemant Taneja (Managing Director,  General "&amp;"Catalyst)")</f>
        <v>Jeff Leiden (Exec Chairman/Fmr CEO, Vertex Pharmaceuticals; Fmr COO, Abbott Laboratories), Robert Nelsen (Co-founder/Managing Director, ARCH), Jennifer Schneider (Fmr Pres/Chief Medical Officer, Livongo Health), Hemant Taneja (Managing Director,  General Catalyst)</v>
      </c>
      <c r="G606" s="60">
        <f>IFERROR(__xludf.DUMMYFUNCTION("""COMPUTED_VALUE"""),5.0E8)</f>
        <v>500000000</v>
      </c>
      <c r="H606" s="60" t="str">
        <f>IFERROR(__xludf.DUMMYFUNCTION("""COMPUTED_VALUE""")," ")</f>
        <v> </v>
      </c>
      <c r="I606" s="66" t="str">
        <f>IFERROR(__xludf.DUMMYFUNCTION("""COMPUTED_VALUE""")," ")</f>
        <v> </v>
      </c>
      <c r="J606" s="62" t="str">
        <f>IFERROR(__xludf.DUMMYFUNCTION("""COMPUTED_VALUE""")," ")</f>
        <v> </v>
      </c>
      <c r="K606" s="59">
        <f>IFERROR(__xludf.DUMMYFUNCTION("""COMPUTED_VALUE"""),10.2)</f>
        <v>10.2</v>
      </c>
      <c r="L606" s="87" t="str">
        <f>IFERROR(__xludf.DUMMYFUNCTION("""COMPUTED_VALUE""")," ")</f>
        <v> </v>
      </c>
      <c r="M606" s="64" t="str">
        <f>IFERROR(__xludf.DUMMYFUNCTION("""COMPUTED_VALUE"""),"U: [1/5 W]; W: [1:1, $11.5]")</f>
        <v>U: [1/5 W]; W: [1:1, $11.5]</v>
      </c>
      <c r="N606" s="65">
        <f>IFERROR(__xludf.DUMMYFUNCTION("""COMPUTED_VALUE"""),44324.0)</f>
        <v>44324</v>
      </c>
      <c r="O606" s="66">
        <f>IFERROR(__xludf.DUMMYFUNCTION("""COMPUTED_VALUE"""),0.0)</f>
        <v>0</v>
      </c>
      <c r="P606" s="67">
        <f>IFERROR(__xludf.DUMMYFUNCTION("""COMPUTED_VALUE"""),44272.0)</f>
        <v>44272</v>
      </c>
      <c r="Q606" s="68">
        <f>IFERROR(__xludf.DUMMYFUNCTION("""COMPUTED_VALUE"""),500.0)</f>
        <v>500</v>
      </c>
      <c r="R606" s="69" t="str">
        <f>IFERROR(__xludf.DUMMYFUNCTION("""COMPUTED_VALUE"""),"Morgan Stanley")</f>
        <v>Morgan Stanley</v>
      </c>
      <c r="S606" s="64">
        <f>IFERROR(__xludf.DUMMYFUNCTION("""COMPUTED_VALUE"""),45002.0)</f>
        <v>45002</v>
      </c>
      <c r="T606" s="70">
        <f>IFERROR(__xludf.DUMMYFUNCTION("""COMPUTED_VALUE"""),0.03287671232876712)</f>
        <v>0.03287671233</v>
      </c>
      <c r="U606" s="71" t="str">
        <f>IFERROR(__xludf.DUMMYFUNCTION("""COMPUTED_VALUE"""),"https://www.sec.gov/cgi-bin/browse-edgar?CIK=1841389")</f>
        <v>https://www.sec.gov/cgi-bin/browse-edgar?CIK=1841389</v>
      </c>
      <c r="V606" s="72" t="str">
        <f>IFERROR(__xludf.DUMMYFUNCTION("""COMPUTED_VALUE"""),"   $500M+ Trust     Well-known Sponsor  Top Tier UW ")</f>
        <v>   $500M+ Trust     Well-known Sponsor  Top Tier UW </v>
      </c>
      <c r="W606" s="73"/>
      <c r="X606" s="74"/>
      <c r="Y606" s="75"/>
      <c r="Z606" s="60"/>
      <c r="AA606" s="60"/>
      <c r="AB606" s="60"/>
      <c r="AC606" s="60"/>
      <c r="AD606" s="73"/>
      <c r="AE606" s="73"/>
      <c r="AF606" s="76"/>
      <c r="AG606" s="60"/>
    </row>
    <row r="607">
      <c r="A607" s="88" t="str">
        <f>IFERROR(__xludf.DUMMYFUNCTION("""COMPUTED_VALUE"""),"RGAC")</f>
        <v>RGAC</v>
      </c>
      <c r="B607" s="55" t="str">
        <f>IFERROR(__xludf.DUMMYFUNCTION("""COMPUTED_VALUE"""),"Rocket Global Acquistion Corp.")</f>
        <v>Rocket Global Acquistion Corp.</v>
      </c>
      <c r="C607" s="56" t="str">
        <f>IFERROR(__xludf.DUMMYFUNCTION("""COMPUTED_VALUE"""),"Pre IPO")</f>
        <v>Pre IPO</v>
      </c>
      <c r="D607" s="57"/>
      <c r="E607" s="58"/>
      <c r="F607" s="59"/>
      <c r="G607" s="60">
        <f>IFERROR(__xludf.DUMMYFUNCTION("""COMPUTED_VALUE"""),1.0E8)</f>
        <v>100000000</v>
      </c>
      <c r="H607" s="60" t="str">
        <f>IFERROR(__xludf.DUMMYFUNCTION("""COMPUTED_VALUE""")," ")</f>
        <v> </v>
      </c>
      <c r="I607" s="66" t="str">
        <f>IFERROR(__xludf.DUMMYFUNCTION("""COMPUTED_VALUE""")," ")</f>
        <v> </v>
      </c>
      <c r="J607" s="62" t="str">
        <f>IFERROR(__xludf.DUMMYFUNCTION("""COMPUTED_VALUE""")," ")</f>
        <v> </v>
      </c>
      <c r="K607" s="59" t="str">
        <f>IFERROR(__xludf.DUMMYFUNCTION("""COMPUTED_VALUE""")," ")</f>
        <v> </v>
      </c>
      <c r="L607" s="87" t="str">
        <f>IFERROR(__xludf.DUMMYFUNCTION("""COMPUTED_VALUE""")," ")</f>
        <v> </v>
      </c>
      <c r="M607" s="64" t="str">
        <f>IFERROR(__xludf.DUMMYFUNCTION("""COMPUTED_VALUE"""),"U: [No Units]; W: [No Warrants]")</f>
        <v>U: [No Units]; W: [No Warrants]</v>
      </c>
      <c r="N607" s="65" t="str">
        <f>IFERROR(__xludf.DUMMYFUNCTION("""COMPUTED_VALUE"""),"")</f>
        <v/>
      </c>
      <c r="O607" s="66">
        <f>IFERROR(__xludf.DUMMYFUNCTION("""COMPUTED_VALUE"""),0.0)</f>
        <v>0</v>
      </c>
      <c r="P607" s="67"/>
      <c r="Q607" s="68">
        <f>IFERROR(__xludf.DUMMYFUNCTION("""COMPUTED_VALUE"""),100.0)</f>
        <v>100</v>
      </c>
      <c r="R607" s="69" t="str">
        <f>IFERROR(__xludf.DUMMYFUNCTION("""COMPUTED_VALUE"""),"Ladenburg Thalmann")</f>
        <v>Ladenburg Thalmann</v>
      </c>
      <c r="S607" s="64">
        <f>IFERROR(__xludf.DUMMYFUNCTION("""COMPUTED_VALUE"""),45086.0)</f>
        <v>45086</v>
      </c>
      <c r="T607" s="70" t="str">
        <f>IFERROR(__xludf.DUMMYFUNCTION("""COMPUTED_VALUE"""),"")</f>
        <v/>
      </c>
      <c r="U607" s="71" t="str">
        <f>IFERROR(__xludf.DUMMYFUNCTION("""COMPUTED_VALUE"""),"https://www.sec.gov/cgi-bin/browse-edgar?CIK=1846348")</f>
        <v>https://www.sec.gov/cgi-bin/browse-edgar?CIK=1846348</v>
      </c>
      <c r="V607" s="72" t="str">
        <f>IFERROR(__xludf.DUMMYFUNCTION("""COMPUTED_VALUE"""),"            ")</f>
        <v>            </v>
      </c>
      <c r="W607" s="73"/>
      <c r="X607" s="74"/>
      <c r="Y607" s="75"/>
      <c r="Z607" s="60"/>
      <c r="AA607" s="60"/>
      <c r="AB607" s="60"/>
      <c r="AC607" s="60"/>
      <c r="AD607" s="73"/>
      <c r="AE607" s="73"/>
      <c r="AF607" s="76"/>
      <c r="AG607" s="60"/>
    </row>
    <row r="608">
      <c r="A608" s="54" t="str">
        <f>IFERROR(__xludf.DUMMYFUNCTION("""COMPUTED_VALUE"""),"RICE")</f>
        <v>RICE</v>
      </c>
      <c r="B608" s="55" t="str">
        <f>IFERROR(__xludf.DUMMYFUNCTION("""COMPUTED_VALUE"""),"Rice Acquisition Corp.")</f>
        <v>Rice Acquisition Corp.</v>
      </c>
      <c r="C608" s="56" t="str">
        <f>IFERROR(__xludf.DUMMYFUNCTION("""COMPUTED_VALUE"""),"Definitive Agreement")</f>
        <v>Definitive Agreement</v>
      </c>
      <c r="D608" s="57" t="str">
        <f>IFERROR(__xludf.DUMMYFUNCTION("""COMPUTED_VALUE"""),"Energy transition / Sustainability")</f>
        <v>Energy transition / Sustainability</v>
      </c>
      <c r="E608" s="58" t="str">
        <f>IFERROR(__xludf.DUMMYFUNCTION("""COMPUTED_VALUE"""),"Aria Energy and Archaea Energy [DA: 04/07/21]")</f>
        <v>Aria Energy and Archaea Energy [DA: 04/07/21]</v>
      </c>
      <c r="F608" s="59" t="str">
        <f>IFERROR(__xludf.DUMMYFUNCTION("""COMPUTED_VALUE"""),"Daniel Rice, IV (Fmr CEO, Rice Energy), James Torgerson (Fmr CEO, Avangrid),")</f>
        <v>Daniel Rice, IV (Fmr CEO, Rice Energy), James Torgerson (Fmr CEO, Avangrid),</v>
      </c>
      <c r="G608" s="60">
        <f>IFERROR(__xludf.DUMMYFUNCTION("""COMPUTED_VALUE"""),2.37308171E8)</f>
        <v>237308171</v>
      </c>
      <c r="H608" s="60">
        <f>IFERROR(__xludf.DUMMYFUNCTION("""COMPUTED_VALUE"""),4.1048575E8)</f>
        <v>410485750</v>
      </c>
      <c r="I608" s="66">
        <f>IFERROR(__xludf.DUMMYFUNCTION("""COMPUTED_VALUE"""),17.3)</f>
        <v>17.3</v>
      </c>
      <c r="J608" s="62">
        <f>IFERROR(__xludf.DUMMYFUNCTION("""COMPUTED_VALUE"""),0.12924)</f>
        <v>0.12924</v>
      </c>
      <c r="K608" s="59">
        <f>IFERROR(__xludf.DUMMYFUNCTION("""COMPUTED_VALUE"""),20.15)</f>
        <v>20.15</v>
      </c>
      <c r="L608" s="87">
        <f>IFERROR(__xludf.DUMMYFUNCTION("""COMPUTED_VALUE"""),5.47)</f>
        <v>5.47</v>
      </c>
      <c r="M608" s="64" t="str">
        <f>IFERROR(__xludf.DUMMYFUNCTION("""COMPUTED_VALUE"""),"U: [1/2 W]; W: [1:1, $11.5]")</f>
        <v>U: [1/2 W]; W: [1:1, $11.5]</v>
      </c>
      <c r="N608" s="65" t="str">
        <f>IFERROR(__xludf.DUMMYFUNCTION("""COMPUTED_VALUE"""),"")</f>
        <v/>
      </c>
      <c r="O608" s="66">
        <f>IFERROR(__xludf.DUMMYFUNCTION("""COMPUTED_VALUE"""),5.800000000000001)</f>
        <v>5.8</v>
      </c>
      <c r="P608" s="67">
        <f>IFERROR(__xludf.DUMMYFUNCTION("""COMPUTED_VALUE"""),44125.0)</f>
        <v>44125</v>
      </c>
      <c r="Q608" s="68">
        <f>IFERROR(__xludf.DUMMYFUNCTION("""COMPUTED_VALUE"""),237.276)</f>
        <v>237.276</v>
      </c>
      <c r="R608" s="69" t="str">
        <f>IFERROR(__xludf.DUMMYFUNCTION("""COMPUTED_VALUE"""),"Barclays")</f>
        <v>Barclays</v>
      </c>
      <c r="S608" s="64">
        <f>IFERROR(__xludf.DUMMYFUNCTION("""COMPUTED_VALUE"""),44855.0)</f>
        <v>44855</v>
      </c>
      <c r="T608" s="70">
        <f>IFERROR(__xludf.DUMMYFUNCTION("""COMPUTED_VALUE"""),0.23424657534246576)</f>
        <v>0.2342465753</v>
      </c>
      <c r="U608" s="71" t="str">
        <f>IFERROR(__xludf.DUMMYFUNCTION("""COMPUTED_VALUE"""),"https://www.sec.gov/cgi-bin/browse-edgar?CIK=1823766")</f>
        <v>https://www.sec.gov/cgi-bin/browse-edgar?CIK=1823766</v>
      </c>
      <c r="V608" s="72" t="str">
        <f>IFERROR(__xludf.DUMMYFUNCTION("""COMPUTED_VALUE"""),"Sustainability            ")</f>
        <v>Sustainability            </v>
      </c>
      <c r="W608" s="73">
        <f>IFERROR(__xludf.DUMMYFUNCTION("""COMPUTED_VALUE"""),44293.0)</f>
        <v>44293</v>
      </c>
      <c r="X608" s="79">
        <f>IFERROR(__xludf.DUMMYFUNCTION("""COMPUTED_VALUE"""),5.6)</f>
        <v>5.6</v>
      </c>
      <c r="Y608" s="80" t="str">
        <f>IFERROR(__xludf.DUMMYFUNCTION("""COMPUTED_VALUE"""),"https://www.businesswire.com/news/home/20210407006030/en/Rice-Acquisition-Corp.-to-Combine-Aria-Energy-and-Archaea-Energy-into-the-Industry-Leading-Renewable-Natural-Gas-Platform")</f>
        <v>https://www.businesswire.com/news/home/20210407006030/en/Rice-Acquisition-Corp.-to-Combine-Aria-Energy-and-Archaea-Energy-into-the-Industry-Leading-Renewable-Natural-Gas-Platform</v>
      </c>
      <c r="Z608" s="81" t="str">
        <f>IFERROR(__xludf.DUMMYFUNCTION("""COMPUTED_VALUE"""),"https://ricespac.com/wp-content/uploads/2021/04/Archaea-PIPE-Presentation_04062021_10AMET.pdf")</f>
        <v>https://ricespac.com/wp-content/uploads/2021/04/Archaea-PIPE-Presentation_04062021_10AMET.pdf</v>
      </c>
      <c r="AA608" s="60">
        <f>IFERROR(__xludf.DUMMYFUNCTION("""COMPUTED_VALUE"""),3.0E8)</f>
        <v>300000000</v>
      </c>
      <c r="AB608" s="60">
        <f>IFERROR(__xludf.DUMMYFUNCTION("""COMPUTED_VALUE"""),1.159E9)</f>
        <v>1159000000</v>
      </c>
      <c r="AC608" s="60">
        <f>IFERROR(__xludf.DUMMYFUNCTION("""COMPUTED_VALUE"""),1.148E9)</f>
        <v>1148000000</v>
      </c>
      <c r="AD608" s="73"/>
      <c r="AE608" s="73"/>
      <c r="AF608" s="76">
        <f>IFERROR(__xludf.DUMMYFUNCTION("""COMPUTED_VALUE"""),1.159E8)</f>
        <v>115900000</v>
      </c>
      <c r="AG608" s="60">
        <f>IFERROR(__xludf.DUMMYFUNCTION("""COMPUTED_VALUE"""),2.00507E9)</f>
        <v>2005070000</v>
      </c>
    </row>
    <row r="609">
      <c r="A609" s="88" t="str">
        <f>IFERROR(__xludf.DUMMYFUNCTION("""COMPUTED_VALUE"""),"RJAC")</f>
        <v>RJAC</v>
      </c>
      <c r="B609" s="55" t="str">
        <f>IFERROR(__xludf.DUMMYFUNCTION("""COMPUTED_VALUE"""),"Jackson Acquisition Co")</f>
        <v>Jackson Acquisition Co</v>
      </c>
      <c r="C609" s="56" t="str">
        <f>IFERROR(__xludf.DUMMYFUNCTION("""COMPUTED_VALUE"""),"Pre IPO")</f>
        <v>Pre IPO</v>
      </c>
      <c r="D609" s="57" t="str">
        <f>IFERROR(__xludf.DUMMYFUNCTION("""COMPUTED_VALUE"""),"Healthcare, Healthcare Tech")</f>
        <v>Healthcare, Healthcare Tech</v>
      </c>
      <c r="E609" s="58"/>
      <c r="F609" s="59" t="str">
        <f>IFERROR(__xludf.DUMMYFUNCTION("""COMPUTED_VALUE"""),"Jeb Bush (Former Governor of Florida), David Perdue (Former US Senator, Former CEO of Reebok, and Former CEO of Dollar General)")</f>
        <v>Jeb Bush (Former Governor of Florida), David Perdue (Former US Senator, Former CEO of Reebok, and Former CEO of Dollar General)</v>
      </c>
      <c r="G609" s="60">
        <f>IFERROR(__xludf.DUMMYFUNCTION("""COMPUTED_VALUE"""),3.0E8)</f>
        <v>300000000</v>
      </c>
      <c r="H609" s="60" t="str">
        <f>IFERROR(__xludf.DUMMYFUNCTION("""COMPUTED_VALUE""")," ")</f>
        <v> </v>
      </c>
      <c r="I609" s="66" t="str">
        <f>IFERROR(__xludf.DUMMYFUNCTION("""COMPUTED_VALUE""")," ")</f>
        <v> </v>
      </c>
      <c r="J609" s="62" t="str">
        <f>IFERROR(__xludf.DUMMYFUNCTION("""COMPUTED_VALUE""")," ")</f>
        <v> </v>
      </c>
      <c r="K609" s="59" t="str">
        <f>IFERROR(__xludf.DUMMYFUNCTION("""COMPUTED_VALUE""")," ")</f>
        <v> </v>
      </c>
      <c r="L609" s="87" t="str">
        <f>IFERROR(__xludf.DUMMYFUNCTION("""COMPUTED_VALUE""")," ")</f>
        <v> </v>
      </c>
      <c r="M609" s="64" t="str">
        <f>IFERROR(__xludf.DUMMYFUNCTION("""COMPUTED_VALUE"""),"U: [1/3 W]; W: [1:1, $11.5]")</f>
        <v>U: [1/3 W]; W: [1:1, $11.5]</v>
      </c>
      <c r="N609" s="65" t="str">
        <f>IFERROR(__xludf.DUMMYFUNCTION("""COMPUTED_VALUE"""),"")</f>
        <v/>
      </c>
      <c r="O609" s="66">
        <f>IFERROR(__xludf.DUMMYFUNCTION("""COMPUTED_VALUE"""),0.0)</f>
        <v>0</v>
      </c>
      <c r="P609" s="67"/>
      <c r="Q609" s="68">
        <f>IFERROR(__xludf.DUMMYFUNCTION("""COMPUTED_VALUE"""),300.0)</f>
        <v>300</v>
      </c>
      <c r="R609" s="69" t="str">
        <f>IFERROR(__xludf.DUMMYFUNCTION("""COMPUTED_VALUE"""),"BofA Securities")</f>
        <v>BofA Securities</v>
      </c>
      <c r="S609" s="64">
        <f>IFERROR(__xludf.DUMMYFUNCTION("""COMPUTED_VALUE"""),45086.0)</f>
        <v>45086</v>
      </c>
      <c r="T609" s="70" t="str">
        <f>IFERROR(__xludf.DUMMYFUNCTION("""COMPUTED_VALUE"""),"")</f>
        <v/>
      </c>
      <c r="U609" s="71" t="str">
        <f>IFERROR(__xludf.DUMMYFUNCTION("""COMPUTED_VALUE"""),"https://www.sec.gov/cgi-bin/browse-edgar?CIK=1852495")</f>
        <v>https://www.sec.gov/cgi-bin/browse-edgar?CIK=1852495</v>
      </c>
      <c r="V609" s="72" t="str">
        <f>IFERROR(__xludf.DUMMYFUNCTION("""COMPUTED_VALUE"""),"         Well-known Sponsor  Top Tier UW ")</f>
        <v>         Well-known Sponsor  Top Tier UW </v>
      </c>
      <c r="W609" s="73"/>
      <c r="X609" s="74"/>
      <c r="Y609" s="75"/>
      <c r="Z609" s="60"/>
      <c r="AA609" s="60"/>
      <c r="AB609" s="60"/>
      <c r="AC609" s="60"/>
      <c r="AD609" s="73"/>
      <c r="AE609" s="73"/>
      <c r="AF609" s="76"/>
      <c r="AG609" s="60"/>
    </row>
    <row r="610">
      <c r="A610" s="88" t="str">
        <f>IFERROR(__xludf.DUMMYFUNCTION("""COMPUTED_VALUE"""),"RKTA")</f>
        <v>RKTA</v>
      </c>
      <c r="B610" s="55" t="str">
        <f>IFERROR(__xludf.DUMMYFUNCTION("""COMPUTED_VALUE"""),"Rocket Internet Growth Opportunities Corp.")</f>
        <v>Rocket Internet Growth Opportunities Corp.</v>
      </c>
      <c r="C610" s="56" t="str">
        <f>IFERROR(__xludf.DUMMYFUNCTION("""COMPUTED_VALUE"""),"Searching (Pre Unit Split)")</f>
        <v>Searching (Pre Unit Split)</v>
      </c>
      <c r="D610" s="57" t="str">
        <f>IFERROR(__xludf.DUMMYFUNCTION("""COMPUTED_VALUE"""),"Tech, Non-US")</f>
        <v>Tech, Non-US</v>
      </c>
      <c r="E610" s="58"/>
      <c r="F610" s="59" t="str">
        <f>IFERROR(__xludf.DUMMYFUNCTION("""COMPUTED_VALUE"""),"Oliver Samwer (Co-Founder/CEO, Rocket Internet)")</f>
        <v>Oliver Samwer (Co-Founder/CEO, Rocket Internet)</v>
      </c>
      <c r="G610" s="60">
        <f>IFERROR(__xludf.DUMMYFUNCTION("""COMPUTED_VALUE"""),2.5E8)</f>
        <v>250000000</v>
      </c>
      <c r="H610" s="60" t="str">
        <f>IFERROR(__xludf.DUMMYFUNCTION("""COMPUTED_VALUE""")," ")</f>
        <v> </v>
      </c>
      <c r="I610" s="66" t="str">
        <f>IFERROR(__xludf.DUMMYFUNCTION("""COMPUTED_VALUE""")," ")</f>
        <v> </v>
      </c>
      <c r="J610" s="62" t="str">
        <f>IFERROR(__xludf.DUMMYFUNCTION("""COMPUTED_VALUE""")," ")</f>
        <v> </v>
      </c>
      <c r="K610" s="59">
        <f>IFERROR(__xludf.DUMMYFUNCTION("""COMPUTED_VALUE"""),10.1858)</f>
        <v>10.1858</v>
      </c>
      <c r="L610" s="87" t="str">
        <f>IFERROR(__xludf.DUMMYFUNCTION("""COMPUTED_VALUE""")," ")</f>
        <v> </v>
      </c>
      <c r="M610" s="64" t="str">
        <f>IFERROR(__xludf.DUMMYFUNCTION("""COMPUTED_VALUE"""),"U: [1/4 W]; W: [1:1, $11.5]")</f>
        <v>U: [1/4 W]; W: [1:1, $11.5]</v>
      </c>
      <c r="N610" s="65">
        <f>IFERROR(__xludf.DUMMYFUNCTION("""COMPUTED_VALUE"""),44330.0)</f>
        <v>44330</v>
      </c>
      <c r="O610" s="66" t="str">
        <f>IFERROR(__xludf.DUMMYFUNCTION("""COMPUTED_VALUE"""),"")</f>
        <v/>
      </c>
      <c r="P610" s="67">
        <f>IFERROR(__xludf.DUMMYFUNCTION("""COMPUTED_VALUE"""),44278.0)</f>
        <v>44278</v>
      </c>
      <c r="Q610" s="68">
        <f>IFERROR(__xludf.DUMMYFUNCTION("""COMPUTED_VALUE"""),250.0)</f>
        <v>250</v>
      </c>
      <c r="R610" s="69" t="str">
        <f>IFERROR(__xludf.DUMMYFUNCTION("""COMPUTED_VALUE"""),"Citigroup")</f>
        <v>Citigroup</v>
      </c>
      <c r="S610" s="64">
        <f>IFERROR(__xludf.DUMMYFUNCTION("""COMPUTED_VALUE"""),45008.0)</f>
        <v>45008</v>
      </c>
      <c r="T610" s="70">
        <f>IFERROR(__xludf.DUMMYFUNCTION("""COMPUTED_VALUE"""),0.024657534246575342)</f>
        <v>0.02465753425</v>
      </c>
      <c r="U610" s="71" t="str">
        <f>IFERROR(__xludf.DUMMYFUNCTION("""COMPUTED_VALUE"""),"https://www.sec.gov/cgi-bin/browse-edgar?CIK=1844363")</f>
        <v>https://www.sec.gov/cgi-bin/browse-edgar?CIK=1844363</v>
      </c>
      <c r="V610" s="72" t="str">
        <f>IFERROR(__xludf.DUMMYFUNCTION("""COMPUTED_VALUE"""),"           Top Tier UW ")</f>
        <v>           Top Tier UW </v>
      </c>
      <c r="W610" s="73"/>
      <c r="X610" s="74"/>
      <c r="Y610" s="75"/>
      <c r="Z610" s="60"/>
      <c r="AA610" s="60"/>
      <c r="AB610" s="60"/>
      <c r="AC610" s="60"/>
      <c r="AD610" s="73"/>
      <c r="AE610" s="73"/>
      <c r="AF610" s="76"/>
      <c r="AG610" s="60"/>
    </row>
    <row r="611">
      <c r="A611" s="54" t="str">
        <f>IFERROR(__xludf.DUMMYFUNCTION("""COMPUTED_VALUE"""),"RMGB")</f>
        <v>RMGB</v>
      </c>
      <c r="B611" s="55" t="str">
        <f>IFERROR(__xludf.DUMMYFUNCTION("""COMPUTED_VALUE"""),"RMG Acquisition Corp. II")</f>
        <v>RMG Acquisition Corp. II</v>
      </c>
      <c r="C611" s="56" t="str">
        <f>IFERROR(__xludf.DUMMYFUNCTION("""COMPUTED_VALUE"""),"Definitive Agreement")</f>
        <v>Definitive Agreement</v>
      </c>
      <c r="D611" s="57"/>
      <c r="E611" s="58" t="str">
        <f>IFERROR(__xludf.DUMMYFUNCTION("""COMPUTED_VALUE"""),"ReNew Power [DA: 02/24/21]")</f>
        <v>ReNew Power [DA: 02/24/21]</v>
      </c>
      <c r="F611" s="59" t="str">
        <f>IFERROR(__xludf.DUMMYFUNCTION("""COMPUTED_VALUE"""),"James Carpenter (CEO, Riverside Management Group), Edward Forst (Fmr CEO, Cushman &amp; Wakefield), Randel Falco (Fmr Chairman/CEO, AOL), Jeffrey Bornstein (Fmr Vice Chairman/CFO, GE)")</f>
        <v>James Carpenter (CEO, Riverside Management Group), Edward Forst (Fmr CEO, Cushman &amp; Wakefield), Randel Falco (Fmr Chairman/CEO, AOL), Jeffrey Bornstein (Fmr Vice Chairman/CFO, GE)</v>
      </c>
      <c r="G611" s="60">
        <f>IFERROR(__xludf.DUMMYFUNCTION("""COMPUTED_VALUE"""),3.45E8)</f>
        <v>345000000</v>
      </c>
      <c r="H611" s="60">
        <f>IFERROR(__xludf.DUMMYFUNCTION("""COMPUTED_VALUE"""),3.47415E8)</f>
        <v>347415000</v>
      </c>
      <c r="I611" s="66">
        <f>IFERROR(__xludf.DUMMYFUNCTION("""COMPUTED_VALUE"""),10.07)</f>
        <v>10.07</v>
      </c>
      <c r="J611" s="62">
        <f>IFERROR(__xludf.DUMMYFUNCTION("""COMPUTED_VALUE"""),-0.00494)</f>
        <v>-0.00494</v>
      </c>
      <c r="K611" s="59">
        <f>IFERROR(__xludf.DUMMYFUNCTION("""COMPUTED_VALUE"""),10.7)</f>
        <v>10.7</v>
      </c>
      <c r="L611" s="87">
        <f>IFERROR(__xludf.DUMMYFUNCTION("""COMPUTED_VALUE"""),1.87)</f>
        <v>1.87</v>
      </c>
      <c r="M611" s="64" t="str">
        <f>IFERROR(__xludf.DUMMYFUNCTION("""COMPUTED_VALUE"""),"U: [1/3 W]; W: [1:1, $11.5]")</f>
        <v>U: [1/3 W]; W: [1:1, $11.5]</v>
      </c>
      <c r="N611" s="65" t="str">
        <f>IFERROR(__xludf.DUMMYFUNCTION("""COMPUTED_VALUE"""),"")</f>
        <v/>
      </c>
      <c r="O611" s="66">
        <f>IFERROR(__xludf.DUMMYFUNCTION("""COMPUTED_VALUE"""),0.0)</f>
        <v>0</v>
      </c>
      <c r="P611" s="67">
        <f>IFERROR(__xludf.DUMMYFUNCTION("""COMPUTED_VALUE"""),44174.0)</f>
        <v>44174</v>
      </c>
      <c r="Q611" s="68">
        <f>IFERROR(__xludf.DUMMYFUNCTION("""COMPUTED_VALUE"""),345.0)</f>
        <v>345</v>
      </c>
      <c r="R611" s="69" t="str">
        <f>IFERROR(__xludf.DUMMYFUNCTION("""COMPUTED_VALUE"""),"BofA Securities, Barclays")</f>
        <v>BofA Securities, Barclays</v>
      </c>
      <c r="S611" s="64">
        <f>IFERROR(__xludf.DUMMYFUNCTION("""COMPUTED_VALUE"""),44904.0)</f>
        <v>44904</v>
      </c>
      <c r="T611" s="70">
        <f>IFERROR(__xludf.DUMMYFUNCTION("""COMPUTED_VALUE"""),0.16712328767123288)</f>
        <v>0.1671232877</v>
      </c>
      <c r="U611" s="71" t="str">
        <f>IFERROR(__xludf.DUMMYFUNCTION("""COMPUTED_VALUE"""),"https://www.sec.gov/cgi-bin/browse-edgar?CIK=1820143")</f>
        <v>https://www.sec.gov/cgi-bin/browse-edgar?CIK=1820143</v>
      </c>
      <c r="V611" s="72" t="str">
        <f>IFERROR(__xludf.DUMMYFUNCTION("""COMPUTED_VALUE"""),"     Optionable     Serial Sponsor Top Tier UW ")</f>
        <v>     Optionable     Serial Sponsor Top Tier UW </v>
      </c>
      <c r="W611" s="73">
        <f>IFERROR(__xludf.DUMMYFUNCTION("""COMPUTED_VALUE"""),44251.0)</f>
        <v>44251</v>
      </c>
      <c r="X611" s="79">
        <f>IFERROR(__xludf.DUMMYFUNCTION("""COMPUTED_VALUE"""),2.566666666666667)</f>
        <v>2.566666667</v>
      </c>
      <c r="Y611" s="80" t="str">
        <f>IFERROR(__xludf.DUMMYFUNCTION("""COMPUTED_VALUE"""),"https://www.businesswire.com/news/home/20210224005431/en/ReNew-Power-India%E2%80%99s-Leading-Renewable-Energy-Company%C2%A0to-Publicly-List-through-Business-Combination-with-RMG-Acquisition-Corporation-II-in-8-Billion-Transaction")</f>
        <v>https://www.businesswire.com/news/home/20210224005431/en/ReNew-Power-India%E2%80%99s-Leading-Renewable-Energy-Company%C2%A0to-Publicly-List-through-Business-Combination-with-RMG-Acquisition-Corporation-II-in-8-Billion-Transaction</v>
      </c>
      <c r="Z611" s="81" t="str">
        <f>IFERROR(__xludf.DUMMYFUNCTION("""COMPUTED_VALUE"""),"https://www.sec.gov/Archives/edgar/data/1820143/000119312521053301/d102219dex993.htm")</f>
        <v>https://www.sec.gov/Archives/edgar/data/1820143/000119312521053301/d102219dex993.htm</v>
      </c>
      <c r="AA611" s="60">
        <f>IFERROR(__xludf.DUMMYFUNCTION("""COMPUTED_VALUE"""),8.55E8)</f>
        <v>855000000</v>
      </c>
      <c r="AB611" s="60">
        <f>IFERROR(__xludf.DUMMYFUNCTION("""COMPUTED_VALUE"""),4.37E9)</f>
        <v>4370000000</v>
      </c>
      <c r="AC611" s="60">
        <f>IFERROR(__xludf.DUMMYFUNCTION("""COMPUTED_VALUE"""),7.846E9)</f>
        <v>7846000000</v>
      </c>
      <c r="AD611" s="73"/>
      <c r="AE611" s="73"/>
      <c r="AF611" s="76">
        <f>IFERROR(__xludf.DUMMYFUNCTION("""COMPUTED_VALUE"""),4.37E8)</f>
        <v>437000000</v>
      </c>
      <c r="AG611" s="60">
        <f>IFERROR(__xludf.DUMMYFUNCTION("""COMPUTED_VALUE"""),4.40059E9)</f>
        <v>4400590000</v>
      </c>
    </row>
    <row r="612">
      <c r="A612" s="54" t="str">
        <f>IFERROR(__xludf.DUMMYFUNCTION("""COMPUTED_VALUE"""),"RMGC")</f>
        <v>RMGC</v>
      </c>
      <c r="B612" s="55" t="str">
        <f>IFERROR(__xludf.DUMMYFUNCTION("""COMPUTED_VALUE"""),"RMG Acquisition Corp. III")</f>
        <v>RMG Acquisition Corp. III</v>
      </c>
      <c r="C612" s="56" t="str">
        <f>IFERROR(__xludf.DUMMYFUNCTION("""COMPUTED_VALUE"""),"Searching")</f>
        <v>Searching</v>
      </c>
      <c r="D612" s="57"/>
      <c r="E612" s="58"/>
      <c r="F612" s="59" t="str">
        <f>IFERROR(__xludf.DUMMYFUNCTION("""COMPUTED_VALUE"""),"James Carpenter (CEO, Riverside Management Group), Randel Falco (Fmr Chairman/CEO, AOL), Jeffrey Bornstein (Fmr Vice Chairman/CFO, GE), Steven Gilbert (Chairman, Gilbert Global Equity; Director, Oaktree Capital)")</f>
        <v>James Carpenter (CEO, Riverside Management Group), Randel Falco (Fmr Chairman/CEO, AOL), Jeffrey Bornstein (Fmr Vice Chairman/CFO, GE), Steven Gilbert (Chairman, Gilbert Global Equity; Director, Oaktree Capital)</v>
      </c>
      <c r="G612" s="60">
        <f>IFERROR(__xludf.DUMMYFUNCTION("""COMPUTED_VALUE"""),4.83E8)</f>
        <v>483000000</v>
      </c>
      <c r="H612" s="60">
        <f>IFERROR(__xludf.DUMMYFUNCTION("""COMPUTED_VALUE"""),4.7785122E8)</f>
        <v>477851220</v>
      </c>
      <c r="I612" s="66">
        <f>IFERROR(__xludf.DUMMYFUNCTION("""COMPUTED_VALUE"""),9.8934)</f>
        <v>9.8934</v>
      </c>
      <c r="J612" s="62">
        <f>IFERROR(__xludf.DUMMYFUNCTION("""COMPUTED_VALUE"""),0.00953)</f>
        <v>0.00953</v>
      </c>
      <c r="K612" s="59">
        <f>IFERROR(__xludf.DUMMYFUNCTION("""COMPUTED_VALUE"""),10.15)</f>
        <v>10.15</v>
      </c>
      <c r="L612" s="87">
        <f>IFERROR(__xludf.DUMMYFUNCTION("""COMPUTED_VALUE"""),1.2533)</f>
        <v>1.2533</v>
      </c>
      <c r="M612" s="64" t="str">
        <f>IFERROR(__xludf.DUMMYFUNCTION("""COMPUTED_VALUE"""),"U: [1/5 W]; W: [1:1, $11.5]")</f>
        <v>U: [1/5 W]; W: [1:1, $11.5]</v>
      </c>
      <c r="N612" s="65" t="str">
        <f>IFERROR(__xludf.DUMMYFUNCTION("""COMPUTED_VALUE"""),"")</f>
        <v/>
      </c>
      <c r="O612" s="66">
        <f>IFERROR(__xludf.DUMMYFUNCTION("""COMPUTED_VALUE"""),0.0)</f>
        <v>0</v>
      </c>
      <c r="P612" s="67">
        <f>IFERROR(__xludf.DUMMYFUNCTION("""COMPUTED_VALUE"""),44231.0)</f>
        <v>44231</v>
      </c>
      <c r="Q612" s="68">
        <f>IFERROR(__xludf.DUMMYFUNCTION("""COMPUTED_VALUE"""),483.0)</f>
        <v>483</v>
      </c>
      <c r="R612" s="69" t="str">
        <f>IFERROR(__xludf.DUMMYFUNCTION("""COMPUTED_VALUE"""),"BofA Securities, Barclays")</f>
        <v>BofA Securities, Barclays</v>
      </c>
      <c r="S612" s="64">
        <f>IFERROR(__xludf.DUMMYFUNCTION("""COMPUTED_VALUE"""),44961.0)</f>
        <v>44961</v>
      </c>
      <c r="T612" s="70">
        <f>IFERROR(__xludf.DUMMYFUNCTION("""COMPUTED_VALUE"""),0.08904109589041095)</f>
        <v>0.08904109589</v>
      </c>
      <c r="U612" s="71" t="str">
        <f>IFERROR(__xludf.DUMMYFUNCTION("""COMPUTED_VALUE"""),"https://www.sec.gov/cgi-bin/browse-edgar?CIK=1838108")</f>
        <v>https://www.sec.gov/cgi-bin/browse-edgar?CIK=1838108</v>
      </c>
      <c r="V612" s="72" t="str">
        <f>IFERROR(__xludf.DUMMYFUNCTION("""COMPUTED_VALUE""")," Trading Below $10 (Common)         Serial Sponsor Top Tier UW ")</f>
        <v> Trading Below $10 (Common)         Serial Sponsor Top Tier UW </v>
      </c>
      <c r="W612" s="73"/>
      <c r="X612" s="74"/>
      <c r="Y612" s="75"/>
      <c r="Z612" s="60"/>
      <c r="AA612" s="60"/>
      <c r="AB612" s="60"/>
      <c r="AC612" s="60"/>
      <c r="AD612" s="73"/>
      <c r="AE612" s="73"/>
      <c r="AF612" s="76"/>
      <c r="AG612" s="60" t="str">
        <f>IFERROR(__xludf.DUMMYFUNCTION("""COMPUTED_VALUE"""),"")</f>
        <v/>
      </c>
    </row>
    <row r="613">
      <c r="A613" s="88" t="str">
        <f>IFERROR(__xludf.DUMMYFUNCTION("""COMPUTED_VALUE"""),"RMGD")</f>
        <v>RMGD</v>
      </c>
      <c r="B613" s="55" t="str">
        <f>IFERROR(__xludf.DUMMYFUNCTION("""COMPUTED_VALUE"""),"RMG Acquisition Corp. IV")</f>
        <v>RMG Acquisition Corp. IV</v>
      </c>
      <c r="C613" s="56" t="str">
        <f>IFERROR(__xludf.DUMMYFUNCTION("""COMPUTED_VALUE"""),"Pre IPO")</f>
        <v>Pre IPO</v>
      </c>
      <c r="D613" s="57"/>
      <c r="E613" s="58"/>
      <c r="F613" s="59" t="str">
        <f>IFERROR(__xludf.DUMMYFUNCTION("""COMPUTED_VALUE"""),"James Carpenter (CEO of Riverside Management Group), Robert Mancini (Chairman of Romeo Power), Jeffrey Bornstein (Former Vice Chairman &amp; CFO of GE), Randel Falco (Former Chairman &amp; CEO of AOL), Edward Forst (Former CEO of Cushman &amp; Wakefield), Eric Smith "&amp;"(Former CEO of Swiss Re Americas)")</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3" s="60">
        <f>IFERROR(__xludf.DUMMYFUNCTION("""COMPUTED_VALUE"""),2.75E8)</f>
        <v>275000000</v>
      </c>
      <c r="H613" s="60" t="str">
        <f>IFERROR(__xludf.DUMMYFUNCTION("""COMPUTED_VALUE""")," ")</f>
        <v> </v>
      </c>
      <c r="I613" s="66" t="str">
        <f>IFERROR(__xludf.DUMMYFUNCTION("""COMPUTED_VALUE""")," ")</f>
        <v> </v>
      </c>
      <c r="J613" s="62" t="str">
        <f>IFERROR(__xludf.DUMMYFUNCTION("""COMPUTED_VALUE""")," ")</f>
        <v> </v>
      </c>
      <c r="K613" s="59" t="str">
        <f>IFERROR(__xludf.DUMMYFUNCTION("""COMPUTED_VALUE""")," ")</f>
        <v> </v>
      </c>
      <c r="L613" s="87" t="str">
        <f>IFERROR(__xludf.DUMMYFUNCTION("""COMPUTED_VALUE""")," ")</f>
        <v> </v>
      </c>
      <c r="M613" s="64" t="str">
        <f>IFERROR(__xludf.DUMMYFUNCTION("""COMPUTED_VALUE"""),"U: [1/5 W]; W: [1:1, $11.5]")</f>
        <v>U: [1/5 W]; W: [1:1, $11.5]</v>
      </c>
      <c r="N613" s="65" t="str">
        <f>IFERROR(__xludf.DUMMYFUNCTION("""COMPUTED_VALUE"""),"")</f>
        <v/>
      </c>
      <c r="O613" s="66">
        <f>IFERROR(__xludf.DUMMYFUNCTION("""COMPUTED_VALUE"""),0.0)</f>
        <v>0</v>
      </c>
      <c r="P613" s="67"/>
      <c r="Q613" s="68">
        <f>IFERROR(__xludf.DUMMYFUNCTION("""COMPUTED_VALUE"""),275.0)</f>
        <v>275</v>
      </c>
      <c r="R613" s="69" t="str">
        <f>IFERROR(__xludf.DUMMYFUNCTION("""COMPUTED_VALUE"""),"BofA Securities, Barclays")</f>
        <v>BofA Securities, Barclays</v>
      </c>
      <c r="S613" s="64">
        <f>IFERROR(__xludf.DUMMYFUNCTION("""COMPUTED_VALUE"""),45086.0)</f>
        <v>45086</v>
      </c>
      <c r="T613" s="70" t="str">
        <f>IFERROR(__xludf.DUMMYFUNCTION("""COMPUTED_VALUE"""),"")</f>
        <v/>
      </c>
      <c r="U613" s="71" t="str">
        <f>IFERROR(__xludf.DUMMYFUNCTION("""COMPUTED_VALUE"""),"https://www.sec.gov/cgi-bin/browse-edgar?CIK=1847455")</f>
        <v>https://www.sec.gov/cgi-bin/browse-edgar?CIK=1847455</v>
      </c>
      <c r="V613" s="72" t="str">
        <f>IFERROR(__xludf.DUMMYFUNCTION("""COMPUTED_VALUE"""),"          Serial Sponsor Top Tier UW ")</f>
        <v>          Serial Sponsor Top Tier UW </v>
      </c>
      <c r="W613" s="73"/>
      <c r="X613" s="74"/>
      <c r="Y613" s="75"/>
      <c r="Z613" s="60"/>
      <c r="AA613" s="60"/>
      <c r="AB613" s="60"/>
      <c r="AC613" s="60"/>
      <c r="AD613" s="73"/>
      <c r="AE613" s="73"/>
      <c r="AF613" s="76"/>
      <c r="AG613" s="60"/>
    </row>
    <row r="614">
      <c r="A614" s="88" t="str">
        <f>IFERROR(__xludf.DUMMYFUNCTION("""COMPUTED_VALUE"""),"RMGE")</f>
        <v>RMGE</v>
      </c>
      <c r="B614" s="55" t="str">
        <f>IFERROR(__xludf.DUMMYFUNCTION("""COMPUTED_VALUE"""),"RMG Acquisition Corp. V")</f>
        <v>RMG Acquisition Corp. V</v>
      </c>
      <c r="C614" s="56" t="str">
        <f>IFERROR(__xludf.DUMMYFUNCTION("""COMPUTED_VALUE"""),"Pre IPO")</f>
        <v>Pre IPO</v>
      </c>
      <c r="D614" s="57"/>
      <c r="E614" s="58"/>
      <c r="F614" s="59" t="str">
        <f>IFERROR(__xludf.DUMMYFUNCTION("""COMPUTED_VALUE"""),"James Carpenter (CEO of Riverside Management Group), Robert Mancini (Chairman of Romeo Power), Jeffrey Bornstein (Former Vice Chairman &amp; CFO of GE), Randel Falco (Former Chairman &amp; CEO of AOL), Edward Forst (Former CEO of Cushman &amp; Wakefield), Eric Smith "&amp;"(Former CEO of Swiss Re Americas)")</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4" s="60">
        <f>IFERROR(__xludf.DUMMYFUNCTION("""COMPUTED_VALUE"""),4.25E8)</f>
        <v>425000000</v>
      </c>
      <c r="H614" s="60" t="str">
        <f>IFERROR(__xludf.DUMMYFUNCTION("""COMPUTED_VALUE""")," ")</f>
        <v> </v>
      </c>
      <c r="I614" s="66" t="str">
        <f>IFERROR(__xludf.DUMMYFUNCTION("""COMPUTED_VALUE""")," ")</f>
        <v> </v>
      </c>
      <c r="J614" s="62" t="str">
        <f>IFERROR(__xludf.DUMMYFUNCTION("""COMPUTED_VALUE""")," ")</f>
        <v> </v>
      </c>
      <c r="K614" s="59" t="str">
        <f>IFERROR(__xludf.DUMMYFUNCTION("""COMPUTED_VALUE""")," ")</f>
        <v> </v>
      </c>
      <c r="L614" s="87" t="str">
        <f>IFERROR(__xludf.DUMMYFUNCTION("""COMPUTED_VALUE""")," ")</f>
        <v> </v>
      </c>
      <c r="M614" s="64" t="str">
        <f>IFERROR(__xludf.DUMMYFUNCTION("""COMPUTED_VALUE"""),"U: [1/5 W]; W: [1:1, $11.5]")</f>
        <v>U: [1/5 W]; W: [1:1, $11.5]</v>
      </c>
      <c r="N614" s="65" t="str">
        <f>IFERROR(__xludf.DUMMYFUNCTION("""COMPUTED_VALUE"""),"")</f>
        <v/>
      </c>
      <c r="O614" s="66">
        <f>IFERROR(__xludf.DUMMYFUNCTION("""COMPUTED_VALUE"""),0.0)</f>
        <v>0</v>
      </c>
      <c r="P614" s="67"/>
      <c r="Q614" s="68">
        <f>IFERROR(__xludf.DUMMYFUNCTION("""COMPUTED_VALUE"""),425.0)</f>
        <v>425</v>
      </c>
      <c r="R614" s="69" t="str">
        <f>IFERROR(__xludf.DUMMYFUNCTION("""COMPUTED_VALUE"""),"BofA Securities, Barclays")</f>
        <v>BofA Securities, Barclays</v>
      </c>
      <c r="S614" s="64">
        <f>IFERROR(__xludf.DUMMYFUNCTION("""COMPUTED_VALUE"""),45086.0)</f>
        <v>45086</v>
      </c>
      <c r="T614" s="70" t="str">
        <f>IFERROR(__xludf.DUMMYFUNCTION("""COMPUTED_VALUE"""),"")</f>
        <v/>
      </c>
      <c r="U614" s="71" t="str">
        <f>IFERROR(__xludf.DUMMYFUNCTION("""COMPUTED_VALUE"""),"https://www.sec.gov/cgi-bin/browse-edgar?CIK=1847459")</f>
        <v>https://www.sec.gov/cgi-bin/browse-edgar?CIK=1847459</v>
      </c>
      <c r="V614" s="72" t="str">
        <f>IFERROR(__xludf.DUMMYFUNCTION("""COMPUTED_VALUE"""),"          Serial Sponsor Top Tier UW ")</f>
        <v>          Serial Sponsor Top Tier UW </v>
      </c>
      <c r="W614" s="73"/>
      <c r="X614" s="74"/>
      <c r="Y614" s="75"/>
      <c r="Z614" s="60"/>
      <c r="AA614" s="60"/>
      <c r="AB614" s="60"/>
      <c r="AC614" s="60"/>
      <c r="AD614" s="73"/>
      <c r="AE614" s="73"/>
      <c r="AF614" s="76"/>
      <c r="AG614" s="60"/>
    </row>
    <row r="615">
      <c r="A615" s="88" t="str">
        <f>IFERROR(__xludf.DUMMYFUNCTION("""COMPUTED_VALUE"""),"RMGF")</f>
        <v>RMGF</v>
      </c>
      <c r="B615" s="55" t="str">
        <f>IFERROR(__xludf.DUMMYFUNCTION("""COMPUTED_VALUE"""),"RMG Acquisition Corp. VI")</f>
        <v>RMG Acquisition Corp. VI</v>
      </c>
      <c r="C615" s="56" t="str">
        <f>IFERROR(__xludf.DUMMYFUNCTION("""COMPUTED_VALUE"""),"Pre IPO")</f>
        <v>Pre IPO</v>
      </c>
      <c r="D615" s="57"/>
      <c r="E615" s="58"/>
      <c r="F615" s="59" t="str">
        <f>IFERROR(__xludf.DUMMYFUNCTION("""COMPUTED_VALUE"""),"James Carpenter (CEO of Riverside Management Group), Robert Mancini (Chairman of Romeo Power), Jeffrey Bornstein (Former Vice Chairman &amp; CFO of GE), Randel Falco (Former Chairman &amp; CEO of AOL), Edward Forst (Former CEO of Cushman &amp; Wakefield), Eric Smith "&amp;"(Former CEO of Swiss Re Americas)")</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5" s="60">
        <f>IFERROR(__xludf.DUMMYFUNCTION("""COMPUTED_VALUE"""),5.75E8)</f>
        <v>575000000</v>
      </c>
      <c r="H615" s="60" t="str">
        <f>IFERROR(__xludf.DUMMYFUNCTION("""COMPUTED_VALUE""")," ")</f>
        <v> </v>
      </c>
      <c r="I615" s="66" t="str">
        <f>IFERROR(__xludf.DUMMYFUNCTION("""COMPUTED_VALUE""")," ")</f>
        <v> </v>
      </c>
      <c r="J615" s="62" t="str">
        <f>IFERROR(__xludf.DUMMYFUNCTION("""COMPUTED_VALUE""")," ")</f>
        <v> </v>
      </c>
      <c r="K615" s="59" t="str">
        <f>IFERROR(__xludf.DUMMYFUNCTION("""COMPUTED_VALUE""")," ")</f>
        <v> </v>
      </c>
      <c r="L615" s="87" t="str">
        <f>IFERROR(__xludf.DUMMYFUNCTION("""COMPUTED_VALUE""")," ")</f>
        <v> </v>
      </c>
      <c r="M615" s="64" t="str">
        <f>IFERROR(__xludf.DUMMYFUNCTION("""COMPUTED_VALUE"""),"U: [1/5 W]; W: [1:1, $11.5]")</f>
        <v>U: [1/5 W]; W: [1:1, $11.5]</v>
      </c>
      <c r="N615" s="65" t="str">
        <f>IFERROR(__xludf.DUMMYFUNCTION("""COMPUTED_VALUE"""),"")</f>
        <v/>
      </c>
      <c r="O615" s="66">
        <f>IFERROR(__xludf.DUMMYFUNCTION("""COMPUTED_VALUE"""),0.0)</f>
        <v>0</v>
      </c>
      <c r="P615" s="67"/>
      <c r="Q615" s="68">
        <f>IFERROR(__xludf.DUMMYFUNCTION("""COMPUTED_VALUE"""),575.0)</f>
        <v>575</v>
      </c>
      <c r="R615" s="69" t="str">
        <f>IFERROR(__xludf.DUMMYFUNCTION("""COMPUTED_VALUE"""),"BofA Securities, Barclays")</f>
        <v>BofA Securities, Barclays</v>
      </c>
      <c r="S615" s="64">
        <f>IFERROR(__xludf.DUMMYFUNCTION("""COMPUTED_VALUE"""),45086.0)</f>
        <v>45086</v>
      </c>
      <c r="T615" s="70" t="str">
        <f>IFERROR(__xludf.DUMMYFUNCTION("""COMPUTED_VALUE"""),"")</f>
        <v/>
      </c>
      <c r="U615" s="71" t="str">
        <f>IFERROR(__xludf.DUMMYFUNCTION("""COMPUTED_VALUE"""),"https://www.sec.gov/cgi-bin/browse-edgar?CIK=1847458")</f>
        <v>https://www.sec.gov/cgi-bin/browse-edgar?CIK=1847458</v>
      </c>
      <c r="V615" s="72" t="str">
        <f>IFERROR(__xludf.DUMMYFUNCTION("""COMPUTED_VALUE"""),"   $500M+ Trust      Serial Sponsor Top Tier UW ")</f>
        <v>   $500M+ Trust      Serial Sponsor Top Tier UW </v>
      </c>
      <c r="W615" s="73"/>
      <c r="X615" s="74"/>
      <c r="Y615" s="75"/>
      <c r="Z615" s="60"/>
      <c r="AA615" s="60"/>
      <c r="AB615" s="60"/>
      <c r="AC615" s="60"/>
      <c r="AD615" s="73"/>
      <c r="AE615" s="73"/>
      <c r="AF615" s="76"/>
      <c r="AG615" s="60"/>
    </row>
    <row r="616">
      <c r="A616" s="88" t="str">
        <f>IFERROR(__xludf.DUMMYFUNCTION("""COMPUTED_VALUE"""),"RMGG")</f>
        <v>RMGG</v>
      </c>
      <c r="B616" s="55" t="str">
        <f>IFERROR(__xludf.DUMMYFUNCTION("""COMPUTED_VALUE"""),"RMG Acquisition Corp. VII")</f>
        <v>RMG Acquisition Corp. VII</v>
      </c>
      <c r="C616" s="56" t="str">
        <f>IFERROR(__xludf.DUMMYFUNCTION("""COMPUTED_VALUE"""),"Pre IPO")</f>
        <v>Pre IPO</v>
      </c>
      <c r="D616" s="57"/>
      <c r="E616" s="58"/>
      <c r="F616" s="59" t="str">
        <f>IFERROR(__xludf.DUMMYFUNCTION("""COMPUTED_VALUE"""),"James Carpenter (CEO of Riverside Management Group), Robert Mancini (Chairman of Romeo Power), Jeffrey Bornstein (Former Vice Chairman &amp; CFO of GE), Randel Falco (Former Chairman &amp; CEO of AOL), Edward Forst (Former CEO of Cushman &amp; Wakefield), Eric Smith "&amp;"(Former CEO of Swiss Re Americas)")</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6" s="60">
        <f>IFERROR(__xludf.DUMMYFUNCTION("""COMPUTED_VALUE"""),7.25E8)</f>
        <v>725000000</v>
      </c>
      <c r="H616" s="60" t="str">
        <f>IFERROR(__xludf.DUMMYFUNCTION("""COMPUTED_VALUE""")," ")</f>
        <v> </v>
      </c>
      <c r="I616" s="66" t="str">
        <f>IFERROR(__xludf.DUMMYFUNCTION("""COMPUTED_VALUE""")," ")</f>
        <v> </v>
      </c>
      <c r="J616" s="62" t="str">
        <f>IFERROR(__xludf.DUMMYFUNCTION("""COMPUTED_VALUE""")," ")</f>
        <v> </v>
      </c>
      <c r="K616" s="59" t="str">
        <f>IFERROR(__xludf.DUMMYFUNCTION("""COMPUTED_VALUE""")," ")</f>
        <v> </v>
      </c>
      <c r="L616" s="87" t="str">
        <f>IFERROR(__xludf.DUMMYFUNCTION("""COMPUTED_VALUE""")," ")</f>
        <v> </v>
      </c>
      <c r="M616" s="64" t="str">
        <f>IFERROR(__xludf.DUMMYFUNCTION("""COMPUTED_VALUE"""),"U: [1/5 W]; W: [1:1, $11.5]")</f>
        <v>U: [1/5 W]; W: [1:1, $11.5]</v>
      </c>
      <c r="N616" s="65" t="str">
        <f>IFERROR(__xludf.DUMMYFUNCTION("""COMPUTED_VALUE"""),"")</f>
        <v/>
      </c>
      <c r="O616" s="66">
        <f>IFERROR(__xludf.DUMMYFUNCTION("""COMPUTED_VALUE"""),0.0)</f>
        <v>0</v>
      </c>
      <c r="P616" s="67"/>
      <c r="Q616" s="68">
        <f>IFERROR(__xludf.DUMMYFUNCTION("""COMPUTED_VALUE"""),725.0)</f>
        <v>725</v>
      </c>
      <c r="R616" s="69" t="str">
        <f>IFERROR(__xludf.DUMMYFUNCTION("""COMPUTED_VALUE"""),"BofA Securities, Barclays")</f>
        <v>BofA Securities, Barclays</v>
      </c>
      <c r="S616" s="64">
        <f>IFERROR(__xludf.DUMMYFUNCTION("""COMPUTED_VALUE"""),45086.0)</f>
        <v>45086</v>
      </c>
      <c r="T616" s="70" t="str">
        <f>IFERROR(__xludf.DUMMYFUNCTION("""COMPUTED_VALUE"""),"")</f>
        <v/>
      </c>
      <c r="U616" s="71" t="str">
        <f>IFERROR(__xludf.DUMMYFUNCTION("""COMPUTED_VALUE"""),"https://www.sec.gov/cgi-bin/browse-edgar?CIK=1847461")</f>
        <v>https://www.sec.gov/cgi-bin/browse-edgar?CIK=1847461</v>
      </c>
      <c r="V616" s="72" t="str">
        <f>IFERROR(__xludf.DUMMYFUNCTION("""COMPUTED_VALUE"""),"   $500M+ Trust      Serial Sponsor Top Tier UW ")</f>
        <v>   $500M+ Trust      Serial Sponsor Top Tier UW </v>
      </c>
      <c r="W616" s="73"/>
      <c r="X616" s="74"/>
      <c r="Y616" s="75"/>
      <c r="Z616" s="60"/>
      <c r="AA616" s="60"/>
      <c r="AB616" s="60"/>
      <c r="AC616" s="60"/>
      <c r="AD616" s="73"/>
      <c r="AE616" s="73"/>
      <c r="AF616" s="76"/>
      <c r="AG616" s="60"/>
    </row>
    <row r="617">
      <c r="A617" s="54" t="str">
        <f>IFERROR(__xludf.DUMMYFUNCTION("""COMPUTED_VALUE"""),"ROCC")</f>
        <v>ROCC</v>
      </c>
      <c r="B617" s="55" t="str">
        <f>IFERROR(__xludf.DUMMYFUNCTION("""COMPUTED_VALUE"""),"Roth CH Acquisition II Co")</f>
        <v>Roth CH Acquisition II Co</v>
      </c>
      <c r="C617" s="56" t="str">
        <f>IFERROR(__xludf.DUMMYFUNCTION("""COMPUTED_VALUE"""),"Searching")</f>
        <v>Searching</v>
      </c>
      <c r="D617" s="57" t="str">
        <f>IFERROR(__xludf.DUMMYFUNCTION("""COMPUTED_VALUE"""),"Business Services, Consumer, Healthcare, Tech, Wellness, Sustainability")</f>
        <v>Business Services, Consumer, Healthcare, Tech, Wellness, Sustainability</v>
      </c>
      <c r="E617" s="58" t="str">
        <f>IFERROR(__xludf.DUMMYFUNCTION("""COMPUTED_VALUE"""),"[In talks (unconfirmed) with Reservoir Media Management: Per Bloomberg 3/25/21]")</f>
        <v>[In talks (unconfirmed) with Reservoir Media Management: Per Bloomberg 3/25/21]</v>
      </c>
      <c r="F617" s="59" t="str">
        <f>IFERROR(__xludf.DUMMYFUNCTION("""COMPUTED_VALUE"""),"Byron Roth (CEO, Roth)")</f>
        <v>Byron Roth (CEO, Roth)</v>
      </c>
      <c r="G617" s="60">
        <f>IFERROR(__xludf.DUMMYFUNCTION("""COMPUTED_VALUE"""),1.15006613E8)</f>
        <v>115006613</v>
      </c>
      <c r="H617" s="60">
        <f>IFERROR(__xludf.DUMMYFUNCTION("""COMPUTED_VALUE"""),1.475255E8)</f>
        <v>147525500</v>
      </c>
      <c r="I617" s="66">
        <f>IFERROR(__xludf.DUMMYFUNCTION("""COMPUTED_VALUE"""),10.07)</f>
        <v>10.07</v>
      </c>
      <c r="J617" s="62">
        <f>IFERROR(__xludf.DUMMYFUNCTION("""COMPUTED_VALUE"""),-0.00198)</f>
        <v>-0.00198</v>
      </c>
      <c r="K617" s="59">
        <f>IFERROR(__xludf.DUMMYFUNCTION("""COMPUTED_VALUE"""),10.75)</f>
        <v>10.75</v>
      </c>
      <c r="L617" s="87">
        <f>IFERROR(__xludf.DUMMYFUNCTION("""COMPUTED_VALUE"""),1.28)</f>
        <v>1.28</v>
      </c>
      <c r="M617" s="64" t="str">
        <f>IFERROR(__xludf.DUMMYFUNCTION("""COMPUTED_VALUE"""),"U: [1/2 W]; W: [1:1, $11.5]")</f>
        <v>U: [1/2 W]; W: [1:1, $11.5]</v>
      </c>
      <c r="N617" s="65" t="str">
        <f>IFERROR(__xludf.DUMMYFUNCTION("""COMPUTED_VALUE"""),"")</f>
        <v/>
      </c>
      <c r="O617" s="66">
        <f>IFERROR(__xludf.DUMMYFUNCTION("""COMPUTED_VALUE"""),0.0)</f>
        <v>0</v>
      </c>
      <c r="P617" s="67">
        <f>IFERROR(__xludf.DUMMYFUNCTION("""COMPUTED_VALUE"""),44175.0)</f>
        <v>44175</v>
      </c>
      <c r="Q617" s="68">
        <f>IFERROR(__xludf.DUMMYFUNCTION("""COMPUTED_VALUE"""),115.0)</f>
        <v>115</v>
      </c>
      <c r="R617" s="69" t="str">
        <f>IFERROR(__xludf.DUMMYFUNCTION("""COMPUTED_VALUE"""),"Roth Capital Partners, Craig-Hallum Capital Group")</f>
        <v>Roth Capital Partners, Craig-Hallum Capital Group</v>
      </c>
      <c r="S617" s="64">
        <f>IFERROR(__xludf.DUMMYFUNCTION("""COMPUTED_VALUE"""),44722.5)</f>
        <v>44722.5</v>
      </c>
      <c r="T617" s="70">
        <f>IFERROR(__xludf.DUMMYFUNCTION("""COMPUTED_VALUE"""),0.22100456621004566)</f>
        <v>0.2210045662</v>
      </c>
      <c r="U617" s="71" t="str">
        <f>IFERROR(__xludf.DUMMYFUNCTION("""COMPUTED_VALUE"""),"https://www.sec.gov/cgi-bin/browse-edgar?CIK=1824403")</f>
        <v>https://www.sec.gov/cgi-bin/browse-edgar?CIK=1824403</v>
      </c>
      <c r="V617" s="72" t="str">
        <f>IFERROR(__xludf.DUMMYFUNCTION("""COMPUTED_VALUE"""),"         Well-known Sponsor Serial Sponsor  ")</f>
        <v>         Well-known Sponsor Serial Sponsor  </v>
      </c>
      <c r="W617" s="73"/>
      <c r="X617" s="74"/>
      <c r="Y617" s="75"/>
      <c r="Z617" s="60"/>
      <c r="AA617" s="60"/>
      <c r="AB617" s="60"/>
      <c r="AC617" s="60"/>
      <c r="AD617" s="73"/>
      <c r="AE617" s="73"/>
      <c r="AF617" s="76"/>
      <c r="AG617" s="60" t="str">
        <f>IFERROR(__xludf.DUMMYFUNCTION("""COMPUTED_VALUE"""),"")</f>
        <v/>
      </c>
    </row>
    <row r="618">
      <c r="A618" s="54" t="str">
        <f>IFERROR(__xludf.DUMMYFUNCTION("""COMPUTED_VALUE"""),"ROCR")</f>
        <v>ROCR</v>
      </c>
      <c r="B618" s="55" t="str">
        <f>IFERROR(__xludf.DUMMYFUNCTION("""COMPUTED_VALUE"""),"Roth CH Acquisition III Co.")</f>
        <v>Roth CH Acquisition III Co.</v>
      </c>
      <c r="C618" s="56" t="str">
        <f>IFERROR(__xludf.DUMMYFUNCTION("""COMPUTED_VALUE"""),"Searching")</f>
        <v>Searching</v>
      </c>
      <c r="D618" s="57" t="str">
        <f>IFERROR(__xludf.DUMMYFUNCTION("""COMPUTED_VALUE"""),"Business Services, Consumer, Healthcare, Tech, Wellness, Sustainability")</f>
        <v>Business Services, Consumer, Healthcare, Tech, Wellness, Sustainability</v>
      </c>
      <c r="E618" s="58"/>
      <c r="F618" s="59" t="str">
        <f>IFERROR(__xludf.DUMMYFUNCTION("""COMPUTED_VALUE"""),"Byron Roth (CEO, Roth)")</f>
        <v>Byron Roth (CEO, Roth)</v>
      </c>
      <c r="G618" s="60">
        <f>IFERROR(__xludf.DUMMYFUNCTION("""COMPUTED_VALUE"""),1.15E8)</f>
        <v>115000000</v>
      </c>
      <c r="H618" s="60">
        <f>IFERROR(__xludf.DUMMYFUNCTION("""COMPUTED_VALUE"""),1.1705564E8)</f>
        <v>117055640</v>
      </c>
      <c r="I618" s="66">
        <f>IFERROR(__xludf.DUMMYFUNCTION("""COMPUTED_VALUE"""),9.83)</f>
        <v>9.83</v>
      </c>
      <c r="J618" s="62">
        <f>IFERROR(__xludf.DUMMYFUNCTION("""COMPUTED_VALUE"""),0.00821)</f>
        <v>0.00821</v>
      </c>
      <c r="K618" s="59">
        <f>IFERROR(__xludf.DUMMYFUNCTION("""COMPUTED_VALUE"""),10.05)</f>
        <v>10.05</v>
      </c>
      <c r="L618" s="87">
        <f>IFERROR(__xludf.DUMMYFUNCTION("""COMPUTED_VALUE"""),1.0)</f>
        <v>1</v>
      </c>
      <c r="M618" s="64" t="str">
        <f>IFERROR(__xludf.DUMMYFUNCTION("""COMPUTED_VALUE"""),"U: [1/4 W]; W: [1:1, $11.5]")</f>
        <v>U: [1/4 W]; W: [1:1, $11.5]</v>
      </c>
      <c r="N618" s="65">
        <f>IFERROR(__xludf.DUMMYFUNCTION("""COMPUTED_VALUE"""),44277.0)</f>
        <v>44277</v>
      </c>
      <c r="O618" s="66">
        <f>IFERROR(__xludf.DUMMYFUNCTION("""COMPUTED_VALUE"""),0.0)</f>
        <v>0</v>
      </c>
      <c r="P618" s="67">
        <f>IFERROR(__xludf.DUMMYFUNCTION("""COMPUTED_VALUE"""),44257.0)</f>
        <v>44257</v>
      </c>
      <c r="Q618" s="68">
        <f>IFERROR(__xludf.DUMMYFUNCTION("""COMPUTED_VALUE"""),115.0)</f>
        <v>115</v>
      </c>
      <c r="R618" s="69" t="str">
        <f>IFERROR(__xludf.DUMMYFUNCTION("""COMPUTED_VALUE"""),"Roth Capital Partners, Craig-Hallum Capital Group")</f>
        <v>Roth Capital Partners, Craig-Hallum Capital Group</v>
      </c>
      <c r="S618" s="64">
        <f>IFERROR(__xludf.DUMMYFUNCTION("""COMPUTED_VALUE"""),44987.0)</f>
        <v>44987</v>
      </c>
      <c r="T618" s="70">
        <f>IFERROR(__xludf.DUMMYFUNCTION("""COMPUTED_VALUE"""),0.05342465753424658)</f>
        <v>0.05342465753</v>
      </c>
      <c r="U618" s="71" t="str">
        <f>IFERROR(__xludf.DUMMYFUNCTION("""COMPUTED_VALUE"""),"https://www.sec.gov/cgi-bin/browse-edgar?CIK=1839412")</f>
        <v>https://www.sec.gov/cgi-bin/browse-edgar?CIK=1839412</v>
      </c>
      <c r="V618" s="72" t="str">
        <f>IFERROR(__xludf.DUMMYFUNCTION("""COMPUTED_VALUE""")," Trading Below $10 (Common)        Well-known Sponsor Serial Sponsor  ")</f>
        <v> Trading Below $10 (Common)        Well-known Sponsor Serial Sponsor  </v>
      </c>
      <c r="W618" s="73"/>
      <c r="X618" s="74"/>
      <c r="Y618" s="75"/>
      <c r="Z618" s="60"/>
      <c r="AA618" s="60"/>
      <c r="AB618" s="60"/>
      <c r="AC618" s="60"/>
      <c r="AD618" s="73"/>
      <c r="AE618" s="73"/>
      <c r="AF618" s="76"/>
      <c r="AG618" s="60" t="str">
        <f>IFERROR(__xludf.DUMMYFUNCTION("""COMPUTED_VALUE"""),"")</f>
        <v/>
      </c>
    </row>
    <row r="619">
      <c r="A619" s="88" t="str">
        <f>IFERROR(__xludf.DUMMYFUNCTION("""COMPUTED_VALUE"""),"RONI")</f>
        <v>RONI</v>
      </c>
      <c r="B619" s="55" t="str">
        <f>IFERROR(__xludf.DUMMYFUNCTION("""COMPUTED_VALUE"""),"Rice Acquisition Corp. II")</f>
        <v>Rice Acquisition Corp. II</v>
      </c>
      <c r="C619" s="56" t="str">
        <f>IFERROR(__xludf.DUMMYFUNCTION("""COMPUTED_VALUE"""),"Pre IPO")</f>
        <v>Pre IPO</v>
      </c>
      <c r="D619" s="57" t="str">
        <f>IFERROR(__xludf.DUMMYFUNCTION("""COMPUTED_VALUE"""),"Energy Transition, Sustainability")</f>
        <v>Energy Transition, Sustainability</v>
      </c>
      <c r="E619" s="58"/>
      <c r="F619" s="59" t="str">
        <f>IFERROR(__xludf.DUMMYFUNCTION("""COMPUTED_VALUE"""),"Daniel Rice, IV (Fmr CEO, Rice Energy)")</f>
        <v>Daniel Rice, IV (Fmr CEO, Rice Energy)</v>
      </c>
      <c r="G619" s="60">
        <f>IFERROR(__xludf.DUMMYFUNCTION("""COMPUTED_VALUE"""),2.5E8)</f>
        <v>250000000</v>
      </c>
      <c r="H619" s="60" t="str">
        <f>IFERROR(__xludf.DUMMYFUNCTION("""COMPUTED_VALUE""")," ")</f>
        <v> </v>
      </c>
      <c r="I619" s="66" t="str">
        <f>IFERROR(__xludf.DUMMYFUNCTION("""COMPUTED_VALUE""")," ")</f>
        <v> </v>
      </c>
      <c r="J619" s="62" t="str">
        <f>IFERROR(__xludf.DUMMYFUNCTION("""COMPUTED_VALUE""")," ")</f>
        <v> </v>
      </c>
      <c r="K619" s="59" t="str">
        <f>IFERROR(__xludf.DUMMYFUNCTION("""COMPUTED_VALUE""")," ")</f>
        <v> </v>
      </c>
      <c r="L619" s="87" t="str">
        <f>IFERROR(__xludf.DUMMYFUNCTION("""COMPUTED_VALUE""")," ")</f>
        <v> </v>
      </c>
      <c r="M619" s="64" t="str">
        <f>IFERROR(__xludf.DUMMYFUNCTION("""COMPUTED_VALUE"""),"U: [1/4 W]; W: [1:1, $11.5]")</f>
        <v>U: [1/4 W]; W: [1:1, $11.5]</v>
      </c>
      <c r="N619" s="65" t="str">
        <f>IFERROR(__xludf.DUMMYFUNCTION("""COMPUTED_VALUE"""),"")</f>
        <v/>
      </c>
      <c r="O619" s="66">
        <f>IFERROR(__xludf.DUMMYFUNCTION("""COMPUTED_VALUE"""),0.0)</f>
        <v>0</v>
      </c>
      <c r="P619" s="67"/>
      <c r="Q619" s="68">
        <f>IFERROR(__xludf.DUMMYFUNCTION("""COMPUTED_VALUE"""),250.0)</f>
        <v>250</v>
      </c>
      <c r="R619" s="69" t="str">
        <f>IFERROR(__xludf.DUMMYFUNCTION("""COMPUTED_VALUE"""),"Citigroup, Barclays")</f>
        <v>Citigroup, Barclays</v>
      </c>
      <c r="S619" s="64">
        <f>IFERROR(__xludf.DUMMYFUNCTION("""COMPUTED_VALUE"""),45086.0)</f>
        <v>45086</v>
      </c>
      <c r="T619" s="70" t="str">
        <f>IFERROR(__xludf.DUMMYFUNCTION("""COMPUTED_VALUE"""),"")</f>
        <v/>
      </c>
      <c r="U619" s="71" t="str">
        <f>IFERROR(__xludf.DUMMYFUNCTION("""COMPUTED_VALUE"""),"https://www.sec.gov/cgi-bin/browse-edgar?CIK=1845437")</f>
        <v>https://www.sec.gov/cgi-bin/browse-edgar?CIK=1845437</v>
      </c>
      <c r="V619" s="72" t="str">
        <f>IFERROR(__xludf.DUMMYFUNCTION("""COMPUTED_VALUE"""),"           Top Tier UW ")</f>
        <v>           Top Tier UW </v>
      </c>
      <c r="W619" s="73"/>
      <c r="X619" s="74"/>
      <c r="Y619" s="75"/>
      <c r="Z619" s="60"/>
      <c r="AA619" s="60"/>
      <c r="AB619" s="60"/>
      <c r="AC619" s="60"/>
      <c r="AD619" s="73"/>
      <c r="AE619" s="73"/>
      <c r="AF619" s="76"/>
      <c r="AG619" s="60"/>
    </row>
    <row r="620">
      <c r="A620" s="54" t="str">
        <f>IFERROR(__xludf.DUMMYFUNCTION("""COMPUTED_VALUE"""),"ROSS")</f>
        <v>ROSS</v>
      </c>
      <c r="B620" s="55" t="str">
        <f>IFERROR(__xludf.DUMMYFUNCTION("""COMPUTED_VALUE"""),"Ross Acquisition Corp II")</f>
        <v>Ross Acquisition Corp II</v>
      </c>
      <c r="C620" s="56" t="str">
        <f>IFERROR(__xludf.DUMMYFUNCTION("""COMPUTED_VALUE"""),"Searching (Pre Unit Split)")</f>
        <v>Searching (Pre Unit Split)</v>
      </c>
      <c r="D620" s="57" t="str">
        <f>IFERROR(__xludf.DUMMYFUNCTION("""COMPUTED_VALUE"""),"Energy Transition, Sustainability, Tech, Sustainable Manufacturing/Materials")</f>
        <v>Energy Transition, Sustainability, Tech, Sustainable Manufacturing/Materials</v>
      </c>
      <c r="E620" s="58"/>
      <c r="F620" s="59" t="str">
        <f>IFERROR(__xludf.DUMMYFUNCTION("""COMPUTED_VALUE"""),"Wilbur L. Ross, Jr. (Fmr Secretary of Commerce under President Trump), Lord William Astor (Chairman, Silvergate Media; Conservative Peer in the House of Lords of the UK Parliament),
Larry Kudlow (Director, National Economic Council for the Trump Administr"&amp;"ation; Fmr host, ""The Kudlow Report"" on CNBC)")</f>
        <v>Wilbur L. Ross, Jr. (Fmr Secretary of Commerce under President Trump), Lord William Astor (Chairman, Silvergate Media; Conservative Peer in the House of Lords of the UK Parliament),
Larry Kudlow (Director, National Economic Council for the Trump Administration; Fmr host, "The Kudlow Report" on CNBC)</v>
      </c>
      <c r="G620" s="60">
        <f>IFERROR(__xludf.DUMMYFUNCTION("""COMPUTED_VALUE"""),3.45E8)</f>
        <v>345000000</v>
      </c>
      <c r="H620" s="60" t="str">
        <f>IFERROR(__xludf.DUMMYFUNCTION("""COMPUTED_VALUE""")," ")</f>
        <v> </v>
      </c>
      <c r="I620" s="66" t="str">
        <f>IFERROR(__xludf.DUMMYFUNCTION("""COMPUTED_VALUE""")," ")</f>
        <v> </v>
      </c>
      <c r="J620" s="62" t="str">
        <f>IFERROR(__xludf.DUMMYFUNCTION("""COMPUTED_VALUE""")," ")</f>
        <v> </v>
      </c>
      <c r="K620" s="59">
        <f>IFERROR(__xludf.DUMMYFUNCTION("""COMPUTED_VALUE"""),10.0)</f>
        <v>10</v>
      </c>
      <c r="L620" s="87" t="str">
        <f>IFERROR(__xludf.DUMMYFUNCTION("""COMPUTED_VALUE""")," ")</f>
        <v> </v>
      </c>
      <c r="M620" s="64" t="str">
        <f>IFERROR(__xludf.DUMMYFUNCTION("""COMPUTED_VALUE"""),"U: [1/3 W]; W: [1:1, $11.5]")</f>
        <v>U: [1/3 W]; W: [1:1, $11.5]</v>
      </c>
      <c r="N620" s="65">
        <f>IFERROR(__xludf.DUMMYFUNCTION("""COMPUTED_VALUE"""),44318.0)</f>
        <v>44318</v>
      </c>
      <c r="O620" s="66" t="str">
        <f>IFERROR(__xludf.DUMMYFUNCTION("""COMPUTED_VALUE"""),"")</f>
        <v/>
      </c>
      <c r="P620" s="67">
        <f>IFERROR(__xludf.DUMMYFUNCTION("""COMPUTED_VALUE"""),44266.0)</f>
        <v>44266</v>
      </c>
      <c r="Q620" s="68">
        <f>IFERROR(__xludf.DUMMYFUNCTION("""COMPUTED_VALUE"""),345.0)</f>
        <v>345</v>
      </c>
      <c r="R620" s="69" t="str">
        <f>IFERROR(__xludf.DUMMYFUNCTION("""COMPUTED_VALUE"""),"BofA Securities")</f>
        <v>BofA Securities</v>
      </c>
      <c r="S620" s="64">
        <f>IFERROR(__xludf.DUMMYFUNCTION("""COMPUTED_VALUE"""),44996.0)</f>
        <v>44996</v>
      </c>
      <c r="T620" s="70">
        <f>IFERROR(__xludf.DUMMYFUNCTION("""COMPUTED_VALUE"""),0.0410958904109589)</f>
        <v>0.04109589041</v>
      </c>
      <c r="U620" s="71" t="str">
        <f>IFERROR(__xludf.DUMMYFUNCTION("""COMPUTED_VALUE"""),"https://www.sec.gov/cgi-bin/browse-edgar?CIK=1841610")</f>
        <v>https://www.sec.gov/cgi-bin/browse-edgar?CIK=1841610</v>
      </c>
      <c r="V620" s="72" t="str">
        <f>IFERROR(__xludf.DUMMYFUNCTION("""COMPUTED_VALUE"""),"         Well-known Sponsor  Top Tier UW ")</f>
        <v>         Well-known Sponsor  Top Tier UW </v>
      </c>
      <c r="W620" s="73"/>
      <c r="X620" s="74"/>
      <c r="Y620" s="75"/>
      <c r="Z620" s="60"/>
      <c r="AA620" s="60"/>
      <c r="AB620" s="60"/>
      <c r="AC620" s="60"/>
      <c r="AD620" s="73"/>
      <c r="AE620" s="73"/>
      <c r="AF620" s="76"/>
      <c r="AG620" s="60" t="str">
        <f>IFERROR(__xludf.DUMMYFUNCTION("""COMPUTED_VALUE"""),"")</f>
        <v/>
      </c>
    </row>
    <row r="621">
      <c r="A621" s="54" t="str">
        <f>IFERROR(__xludf.DUMMYFUNCTION("""COMPUTED_VALUE"""),"ROT")</f>
        <v>ROT</v>
      </c>
      <c r="B621" s="55" t="str">
        <f>IFERROR(__xludf.DUMMYFUNCTION("""COMPUTED_VALUE"""),"Rotor Acquisition Corp.")</f>
        <v>Rotor Acquisition Corp.</v>
      </c>
      <c r="C621" s="56" t="str">
        <f>IFERROR(__xludf.DUMMYFUNCTION("""COMPUTED_VALUE"""),"Definitive Agreement")</f>
        <v>Definitive Agreement</v>
      </c>
      <c r="D621" s="57"/>
      <c r="E621" s="58" t="str">
        <f>IFERROR(__xludf.DUMMYFUNCTION("""COMPUTED_VALUE"""),"Sarcos Robotics [DA: 04/06/21]")</f>
        <v>Sarcos Robotics [DA: 04/06/21]</v>
      </c>
      <c r="F621" s="59" t="str">
        <f>IFERROR(__xludf.DUMMYFUNCTION("""COMPUTED_VALUE"""),"Brian Finn (Fmr Head of Alternative Investments, Credit Suisse)")</f>
        <v>Brian Finn (Fmr Head of Alternative Investments, Credit Suisse)</v>
      </c>
      <c r="G621" s="60">
        <f>IFERROR(__xludf.DUMMYFUNCTION("""COMPUTED_VALUE"""),2.76E8)</f>
        <v>276000000</v>
      </c>
      <c r="H621" s="60">
        <f>IFERROR(__xludf.DUMMYFUNCTION("""COMPUTED_VALUE"""),2.7462E8)</f>
        <v>274620000</v>
      </c>
      <c r="I621" s="66">
        <f>IFERROR(__xludf.DUMMYFUNCTION("""COMPUTED_VALUE"""),9.95)</f>
        <v>9.95</v>
      </c>
      <c r="J621" s="62">
        <f>IFERROR(__xludf.DUMMYFUNCTION("""COMPUTED_VALUE"""),0.00302)</f>
        <v>0.00302</v>
      </c>
      <c r="K621" s="59">
        <f>IFERROR(__xludf.DUMMYFUNCTION("""COMPUTED_VALUE"""),10.42)</f>
        <v>10.42</v>
      </c>
      <c r="L621" s="87">
        <f>IFERROR(__xludf.DUMMYFUNCTION("""COMPUTED_VALUE"""),1.05)</f>
        <v>1.05</v>
      </c>
      <c r="M621" s="64" t="str">
        <f>IFERROR(__xludf.DUMMYFUNCTION("""COMPUTED_VALUE"""),"U: [1/2 W]; W: [1:1, $11.5]")</f>
        <v>U: [1/2 W]; W: [1:1, $11.5]</v>
      </c>
      <c r="N621" s="65" t="str">
        <f>IFERROR(__xludf.DUMMYFUNCTION("""COMPUTED_VALUE"""),"")</f>
        <v/>
      </c>
      <c r="O621" s="66">
        <f>IFERROR(__xludf.DUMMYFUNCTION("""COMPUTED_VALUE"""),0.0)</f>
        <v>0</v>
      </c>
      <c r="P621" s="67">
        <f>IFERROR(__xludf.DUMMYFUNCTION("""COMPUTED_VALUE"""),44210.0)</f>
        <v>44210</v>
      </c>
      <c r="Q621" s="68">
        <f>IFERROR(__xludf.DUMMYFUNCTION("""COMPUTED_VALUE"""),276.0)</f>
        <v>276</v>
      </c>
      <c r="R621" s="69" t="str">
        <f>IFERROR(__xludf.DUMMYFUNCTION("""COMPUTED_VALUE"""),"Credit Suisse")</f>
        <v>Credit Suisse</v>
      </c>
      <c r="S621" s="64">
        <f>IFERROR(__xludf.DUMMYFUNCTION("""COMPUTED_VALUE"""),44757.5)</f>
        <v>44757.5</v>
      </c>
      <c r="T621" s="70">
        <f>IFERROR(__xludf.DUMMYFUNCTION("""COMPUTED_VALUE"""),0.15707762557077626)</f>
        <v>0.1570776256</v>
      </c>
      <c r="U621" s="71" t="str">
        <f>IFERROR(__xludf.DUMMYFUNCTION("""COMPUTED_VALUE"""),"https://www.sec.gov/cgi-bin/browse-edgar?CIK=1826681")</f>
        <v>https://www.sec.gov/cgi-bin/browse-edgar?CIK=1826681</v>
      </c>
      <c r="V621" s="72" t="str">
        <f>IFERROR(__xludf.DUMMYFUNCTION("""COMPUTED_VALUE""")," Trading Below $10 (Common)           ")</f>
        <v> Trading Below $10 (Common)           </v>
      </c>
      <c r="W621" s="73">
        <f>IFERROR(__xludf.DUMMYFUNCTION("""COMPUTED_VALUE"""),44292.0)</f>
        <v>44292</v>
      </c>
      <c r="X621" s="79">
        <f>IFERROR(__xludf.DUMMYFUNCTION("""COMPUTED_VALUE"""),2.7333333333333334)</f>
        <v>2.733333333</v>
      </c>
      <c r="Y621" s="80" t="str">
        <f>IFERROR(__xludf.DUMMYFUNCTION("""COMPUTED_VALUE"""),"https://www.businesswire.com/news/home/20210406005563/en/Sarcos-Robotics-to-Merge-with-Rotor-Acquisition-Corp.")</f>
        <v>https://www.businesswire.com/news/home/20210406005563/en/Sarcos-Robotics-to-Merge-with-Rotor-Acquisition-Corp.</v>
      </c>
      <c r="Z621" s="81" t="str">
        <f>IFERROR(__xludf.DUMMYFUNCTION("""COMPUTED_VALUE"""),"https://www.sec.gov/Archives/edgar/data/1826681/000121390021020284/ea139001ex99-2_rotoracq.htm")</f>
        <v>https://www.sec.gov/Archives/edgar/data/1826681/000121390021020284/ea139001ex99-2_rotoracq.htm</v>
      </c>
      <c r="AA621" s="60">
        <f>IFERROR(__xludf.DUMMYFUNCTION("""COMPUTED_VALUE"""),2.2E8)</f>
        <v>220000000</v>
      </c>
      <c r="AB621" s="60">
        <f>IFERROR(__xludf.DUMMYFUNCTION("""COMPUTED_VALUE"""),1.76E9)</f>
        <v>1760000000</v>
      </c>
      <c r="AC621" s="60">
        <f>IFERROR(__xludf.DUMMYFUNCTION("""COMPUTED_VALUE"""),1.314E9)</f>
        <v>1314000000</v>
      </c>
      <c r="AD621" s="73"/>
      <c r="AE621" s="73"/>
      <c r="AF621" s="76">
        <f>IFERROR(__xludf.DUMMYFUNCTION("""COMPUTED_VALUE"""),1.76E8)</f>
        <v>176000000</v>
      </c>
      <c r="AG621" s="60">
        <f>IFERROR(__xludf.DUMMYFUNCTION("""COMPUTED_VALUE"""),1.7511999999999998E9)</f>
        <v>1751200000</v>
      </c>
    </row>
    <row r="622">
      <c r="A622" s="54" t="str">
        <f>IFERROR(__xludf.DUMMYFUNCTION("""COMPUTED_VALUE"""),"RSVA")</f>
        <v>RSVA</v>
      </c>
      <c r="B622" s="55" t="str">
        <f>IFERROR(__xludf.DUMMYFUNCTION("""COMPUTED_VALUE"""),"Rodgers Silicon Valley Acquisition Corp.")</f>
        <v>Rodgers Silicon Valley Acquisition Corp.</v>
      </c>
      <c r="C622" s="56" t="str">
        <f>IFERROR(__xludf.DUMMYFUNCTION("""COMPUTED_VALUE"""),"Definitive Agreement")</f>
        <v>Definitive Agreement</v>
      </c>
      <c r="D622" s="77" t="str">
        <f>IFERROR(__xludf.DUMMYFUNCTION("""COMPUTED_VALUE"""),"Tech (Silicon Valley based) with applications in Energy or Industrials")</f>
        <v>Tech (Silicon Valley based) with applications in Energy or Industrials</v>
      </c>
      <c r="E622" s="58" t="str">
        <f>IFERROR(__xludf.DUMMYFUNCTION("""COMPUTED_VALUE"""),"Enovix [DA: 02/22/21]")</f>
        <v>Enovix [DA: 02/22/21]</v>
      </c>
      <c r="F622" s="59" t="str">
        <f>IFERROR(__xludf.DUMMYFUNCTION("""COMPUTED_VALUE"""),"T. J. Rodgers (Co-founder/Fmr CEO, Cypress Semiconductor), Emmanuel Hernandez (Director, ON Semiconductor)")</f>
        <v>T. J. Rodgers (Co-founder/Fmr CEO, Cypress Semiconductor), Emmanuel Hernandez (Director, ON Semiconductor)</v>
      </c>
      <c r="G622" s="60">
        <f>IFERROR(__xludf.DUMMYFUNCTION("""COMPUTED_VALUE"""),2.3E8)</f>
        <v>230000000</v>
      </c>
      <c r="H622" s="60">
        <f>IFERROR(__xludf.DUMMYFUNCTION("""COMPUTED_VALUE"""),4.9795E8)</f>
        <v>497950000</v>
      </c>
      <c r="I622" s="66">
        <f>IFERROR(__xludf.DUMMYFUNCTION("""COMPUTED_VALUE"""),17.32)</f>
        <v>17.32</v>
      </c>
      <c r="J622" s="62">
        <f>IFERROR(__xludf.DUMMYFUNCTION("""COMPUTED_VALUE"""),-0.00972)</f>
        <v>-0.00972</v>
      </c>
      <c r="K622" s="59">
        <f>IFERROR(__xludf.DUMMYFUNCTION("""COMPUTED_VALUE"""),19.44)</f>
        <v>19.44</v>
      </c>
      <c r="L622" s="87">
        <f>IFERROR(__xludf.DUMMYFUNCTION("""COMPUTED_VALUE"""),5.3)</f>
        <v>5.3</v>
      </c>
      <c r="M622" s="64" t="str">
        <f>IFERROR(__xludf.DUMMYFUNCTION("""COMPUTED_VALUE"""),"U: [1/2 W]; W: [1:1, $11.5]")</f>
        <v>U: [1/2 W]; W: [1:1, $11.5]</v>
      </c>
      <c r="N622" s="65" t="str">
        <f>IFERROR(__xludf.DUMMYFUNCTION("""COMPUTED_VALUE"""),"")</f>
        <v/>
      </c>
      <c r="O622" s="66">
        <f>IFERROR(__xludf.DUMMYFUNCTION("""COMPUTED_VALUE"""),5.82)</f>
        <v>5.82</v>
      </c>
      <c r="P622" s="67">
        <f>IFERROR(__xludf.DUMMYFUNCTION("""COMPUTED_VALUE"""),44167.0)</f>
        <v>44167</v>
      </c>
      <c r="Q622" s="68">
        <f>IFERROR(__xludf.DUMMYFUNCTION("""COMPUTED_VALUE"""),230.0)</f>
        <v>230</v>
      </c>
      <c r="R622" s="69" t="str">
        <f>IFERROR(__xludf.DUMMYFUNCTION("""COMPUTED_VALUE"""),"Oppenheimer &amp; Co.")</f>
        <v>Oppenheimer &amp; Co.</v>
      </c>
      <c r="S622" s="64">
        <f>IFERROR(__xludf.DUMMYFUNCTION("""COMPUTED_VALUE"""),44897.0)</f>
        <v>44897</v>
      </c>
      <c r="T622" s="70">
        <f>IFERROR(__xludf.DUMMYFUNCTION("""COMPUTED_VALUE"""),0.17671232876712328)</f>
        <v>0.1767123288</v>
      </c>
      <c r="U622" s="71" t="str">
        <f>IFERROR(__xludf.DUMMYFUNCTION("""COMPUTED_VALUE"""),"https://www.sec.gov/cgi-bin/browse-edgar?CIK=1828318")</f>
        <v>https://www.sec.gov/cgi-bin/browse-edgar?CIK=1828318</v>
      </c>
      <c r="V622" s="72" t="str">
        <f>IFERROR(__xludf.DUMMYFUNCTION("""COMPUTED_VALUE"""),"Sustainability, E.V.     Optionable       ")</f>
        <v>Sustainability, E.V.     Optionable       </v>
      </c>
      <c r="W622" s="73">
        <f>IFERROR(__xludf.DUMMYFUNCTION("""COMPUTED_VALUE"""),44249.0)</f>
        <v>44249</v>
      </c>
      <c r="X622" s="79">
        <f>IFERROR(__xludf.DUMMYFUNCTION("""COMPUTED_VALUE"""),2.7333333333333334)</f>
        <v>2.733333333</v>
      </c>
      <c r="Y622" s="80" t="str">
        <f>IFERROR(__xludf.DUMMYFUNCTION("""COMPUTED_VALUE"""),"https://www.prnewswire.com/news-releases/advanced-silicon-battery-company-enovix-to-become-a-public-company-through-merger-with-rodgers-silicon-valley-acquisition-corp-301232218.html")</f>
        <v>https://www.prnewswire.com/news-releases/advanced-silicon-battery-company-enovix-to-become-a-public-company-through-merger-with-rodgers-silicon-valley-acquisition-corp-301232218.html</v>
      </c>
      <c r="Z622" s="81" t="str">
        <f>IFERROR(__xludf.DUMMYFUNCTION("""COMPUTED_VALUE"""),"https://www.sec.gov/Archives/edgar/data/1828318/000110465921026022/tm217461d1_ex99-2.htm")</f>
        <v>https://www.sec.gov/Archives/edgar/data/1828318/000110465921026022/tm217461d1_ex99-2.htm</v>
      </c>
      <c r="AA622" s="60">
        <f>IFERROR(__xludf.DUMMYFUNCTION("""COMPUTED_VALUE"""),1.75E8)</f>
        <v>175000000</v>
      </c>
      <c r="AB622" s="60">
        <f>IFERROR(__xludf.DUMMYFUNCTION("""COMPUTED_VALUE"""),1.513E9)</f>
        <v>1513000000</v>
      </c>
      <c r="AC622" s="60">
        <f>IFERROR(__xludf.DUMMYFUNCTION("""COMPUTED_VALUE"""),1.128E9)</f>
        <v>1128000000</v>
      </c>
      <c r="AD622" s="73"/>
      <c r="AE622" s="73"/>
      <c r="AF622" s="76">
        <f>IFERROR(__xludf.DUMMYFUNCTION("""COMPUTED_VALUE"""),1.513E8)</f>
        <v>151300000</v>
      </c>
      <c r="AG622" s="60">
        <f>IFERROR(__xludf.DUMMYFUNCTION("""COMPUTED_VALUE"""),2.620516E9)</f>
        <v>2620516000</v>
      </c>
    </row>
    <row r="623">
      <c r="A623" s="54" t="str">
        <f>IFERROR(__xludf.DUMMYFUNCTION("""COMPUTED_VALUE"""),"RTP")</f>
        <v>RTP</v>
      </c>
      <c r="B623" s="55" t="str">
        <f>IFERROR(__xludf.DUMMYFUNCTION("""COMPUTED_VALUE"""),"Reinvent Technology Partners")</f>
        <v>Reinvent Technology Partners</v>
      </c>
      <c r="C623" s="56" t="str">
        <f>IFERROR(__xludf.DUMMYFUNCTION("""COMPUTED_VALUE"""),"Definitive Agreement")</f>
        <v>Definitive Agreement</v>
      </c>
      <c r="D623" s="57" t="str">
        <f>IFERROR(__xludf.DUMMYFUNCTION("""COMPUTED_VALUE"""),"Consumer Internet, Mobile Gaming, Tech")</f>
        <v>Consumer Internet, Mobile Gaming, Tech</v>
      </c>
      <c r="E623" s="58" t="str">
        <f>IFERROR(__xludf.DUMMYFUNCTION("""COMPUTED_VALUE"""),"Joby Aviation [DA: 02/24/21]")</f>
        <v>Joby Aviation [DA: 02/24/21]</v>
      </c>
      <c r="F623" s="59" t="str">
        <f>IFERROR(__xludf.DUMMYFUNCTION("""COMPUTED_VALUE"""),"Reid Hoffman (Co-founder and Former CEO, LinkedIn; Former CEO, Paypal; Partner at Greylock), Mark Pincus (Chairman and Former CEO, Zynga)")</f>
        <v>Reid Hoffman (Co-founder and Former CEO, LinkedIn; Former CEO, Paypal; Partner at Greylock), Mark Pincus (Chairman and Former CEO, Zynga)</v>
      </c>
      <c r="G623" s="60">
        <f>IFERROR(__xludf.DUMMYFUNCTION("""COMPUTED_VALUE"""),6.89957206E8)</f>
        <v>689957206</v>
      </c>
      <c r="H623" s="60">
        <f>IFERROR(__xludf.DUMMYFUNCTION("""COMPUTED_VALUE"""),7.0173E8)</f>
        <v>701730000</v>
      </c>
      <c r="I623" s="66">
        <f>IFERROR(__xludf.DUMMYFUNCTION("""COMPUTED_VALUE"""),10.17)</f>
        <v>10.17</v>
      </c>
      <c r="J623" s="62">
        <f>IFERROR(__xludf.DUMMYFUNCTION("""COMPUTED_VALUE"""),-0.01166)</f>
        <v>-0.01166</v>
      </c>
      <c r="K623" s="59">
        <f>IFERROR(__xludf.DUMMYFUNCTION("""COMPUTED_VALUE"""),10.6)</f>
        <v>10.6</v>
      </c>
      <c r="L623" s="87">
        <f>IFERROR(__xludf.DUMMYFUNCTION("""COMPUTED_VALUE"""),1.82)</f>
        <v>1.82</v>
      </c>
      <c r="M623" s="64" t="str">
        <f>IFERROR(__xludf.DUMMYFUNCTION("""COMPUTED_VALUE"""),"U: [1/4 W]; W: [1:1, $11.5]")</f>
        <v>U: [1/4 W]; W: [1:1, $11.5]</v>
      </c>
      <c r="N623" s="65" t="str">
        <f>IFERROR(__xludf.DUMMYFUNCTION("""COMPUTED_VALUE"""),"")</f>
        <v/>
      </c>
      <c r="O623" s="66">
        <f>IFERROR(__xludf.DUMMYFUNCTION("""COMPUTED_VALUE"""),0.0)</f>
        <v>0</v>
      </c>
      <c r="P623" s="67">
        <f>IFERROR(__xludf.DUMMYFUNCTION("""COMPUTED_VALUE"""),44090.0)</f>
        <v>44090</v>
      </c>
      <c r="Q623" s="68">
        <f>IFERROR(__xludf.DUMMYFUNCTION("""COMPUTED_VALUE"""),690.0)</f>
        <v>690</v>
      </c>
      <c r="R623" s="69" t="str">
        <f>IFERROR(__xludf.DUMMYFUNCTION("""COMPUTED_VALUE"""),"Morgan Stanley")</f>
        <v>Morgan Stanley</v>
      </c>
      <c r="S623" s="64">
        <f>IFERROR(__xludf.DUMMYFUNCTION("""COMPUTED_VALUE"""),44820.0)</f>
        <v>44820</v>
      </c>
      <c r="T623" s="70">
        <f>IFERROR(__xludf.DUMMYFUNCTION("""COMPUTED_VALUE"""),0.2821917808219178)</f>
        <v>0.2821917808</v>
      </c>
      <c r="U623" s="71" t="str">
        <f>IFERROR(__xludf.DUMMYFUNCTION("""COMPUTED_VALUE"""),"https://www.sec.gov/cgi-bin/browse-edgar?CIK=1819848")</f>
        <v>https://www.sec.gov/cgi-bin/browse-edgar?CIK=1819848</v>
      </c>
      <c r="V623" s="72" t="str">
        <f>IFERROR(__xludf.DUMMYFUNCTION("""COMPUTED_VALUE"""),"Venture Capital   $500M+ Trust Optionable    Well-known Sponsor Serial Sponsor Top Tier UW ")</f>
        <v>Venture Capital   $500M+ Trust Optionable    Well-known Sponsor Serial Sponsor Top Tier UW </v>
      </c>
      <c r="W623" s="73">
        <f>IFERROR(__xludf.DUMMYFUNCTION("""COMPUTED_VALUE"""),44251.0)</f>
        <v>44251</v>
      </c>
      <c r="X623" s="79">
        <f>IFERROR(__xludf.DUMMYFUNCTION("""COMPUTED_VALUE"""),5.366666666666666)</f>
        <v>5.366666667</v>
      </c>
      <c r="Y623" s="80" t="str">
        <f>IFERROR(__xludf.DUMMYFUNCTION("""COMPUTED_VALUE"""),"https://www.businesswire.com/news/home/20210224005391/en/Joby-Aviation-to-List-on-NYSE-Through-Merger-With-Reinvent-Technology-Partners")</f>
        <v>https://www.businesswire.com/news/home/20210224005391/en/Joby-Aviation-to-List-on-NYSE-Through-Merger-With-Reinvent-Technology-Partners</v>
      </c>
      <c r="Z623" s="81" t="str">
        <f>IFERROR(__xludf.DUMMYFUNCTION("""COMPUTED_VALUE"""),"https://www.sec.gov/Archives/edgar/data/1819848/000119312521053631/d135823dex992.htm")</f>
        <v>https://www.sec.gov/Archives/edgar/data/1819848/000119312521053631/d135823dex992.htm</v>
      </c>
      <c r="AA623" s="60">
        <f>IFERROR(__xludf.DUMMYFUNCTION("""COMPUTED_VALUE"""),8.35E8)</f>
        <v>835000000</v>
      </c>
      <c r="AB623" s="60">
        <f>IFERROR(__xludf.DUMMYFUNCTION("""COMPUTED_VALUE"""),6.6E9)</f>
        <v>6600000000</v>
      </c>
      <c r="AC623" s="60">
        <f>IFERROR(__xludf.DUMMYFUNCTION("""COMPUTED_VALUE"""),4.629E9)</f>
        <v>4629000000</v>
      </c>
      <c r="AD623" s="73"/>
      <c r="AE623" s="73"/>
      <c r="AF623" s="76">
        <f>IFERROR(__xludf.DUMMYFUNCTION("""COMPUTED_VALUE"""),6.6E8)</f>
        <v>660000000</v>
      </c>
      <c r="AG623" s="60">
        <f>IFERROR(__xludf.DUMMYFUNCTION("""COMPUTED_VALUE"""),6.7122E9)</f>
        <v>6712200000</v>
      </c>
    </row>
    <row r="624">
      <c r="A624" s="88" t="str">
        <f>IFERROR(__xludf.DUMMYFUNCTION("""COMPUTED_VALUE"""),"RTPY")</f>
        <v>RTPY</v>
      </c>
      <c r="B624" s="55" t="str">
        <f>IFERROR(__xludf.DUMMYFUNCTION("""COMPUTED_VALUE"""),"Reinvent Technology Partners Y")</f>
        <v>Reinvent Technology Partners Y</v>
      </c>
      <c r="C624" s="56" t="str">
        <f>IFERROR(__xludf.DUMMYFUNCTION("""COMPUTED_VALUE"""),"Searching (Pre Unit Split)")</f>
        <v>Searching (Pre Unit Split)</v>
      </c>
      <c r="D624" s="77" t="str">
        <f>IFERROR(__xludf.DUMMYFUNCTION("""COMPUTED_VALUE"""),"Tech")</f>
        <v>Tech</v>
      </c>
      <c r="E624" s="58"/>
      <c r="F624" s="59" t="str">
        <f>IFERROR(__xludf.DUMMYFUNCTION("""COMPUTED_VALUE"""),"Reid Hoffman (Co-founder and Former CEO, LinkedIn; Former CEO, Paypal; Partner at Greylock), Mark Pincus (Chairman and Former CEO, Zynga), Katharina Borchert (Former CEO, Speigel Online)")</f>
        <v>Reid Hoffman (Co-founder and Former CEO, LinkedIn; Former CEO, Paypal; Partner at Greylock), Mark Pincus (Chairman and Former CEO, Zynga), Katharina Borchert (Former CEO, Speigel Online)</v>
      </c>
      <c r="G624" s="60">
        <f>IFERROR(__xludf.DUMMYFUNCTION("""COMPUTED_VALUE"""),9.775E8)</f>
        <v>977500000</v>
      </c>
      <c r="H624" s="60" t="str">
        <f>IFERROR(__xludf.DUMMYFUNCTION("""COMPUTED_VALUE""")," ")</f>
        <v> </v>
      </c>
      <c r="I624" s="66" t="str">
        <f>IFERROR(__xludf.DUMMYFUNCTION("""COMPUTED_VALUE""")," ")</f>
        <v> </v>
      </c>
      <c r="J624" s="62" t="str">
        <f>IFERROR(__xludf.DUMMYFUNCTION("""COMPUTED_VALUE""")," ")</f>
        <v> </v>
      </c>
      <c r="K624" s="59">
        <f>IFERROR(__xludf.DUMMYFUNCTION("""COMPUTED_VALUE"""),10.19)</f>
        <v>10.19</v>
      </c>
      <c r="L624" s="87" t="str">
        <f>IFERROR(__xludf.DUMMYFUNCTION("""COMPUTED_VALUE""")," ")</f>
        <v> </v>
      </c>
      <c r="M624" s="64" t="str">
        <f>IFERROR(__xludf.DUMMYFUNCTION("""COMPUTED_VALUE"""),"U: [1/8 W]; W: [1:1, $11.5]")</f>
        <v>U: [1/8 W]; W: [1:1, $11.5]</v>
      </c>
      <c r="N624" s="65">
        <f>IFERROR(__xludf.DUMMYFUNCTION("""COMPUTED_VALUE"""),44322.0)</f>
        <v>44322</v>
      </c>
      <c r="O624" s="66" t="str">
        <f>IFERROR(__xludf.DUMMYFUNCTION("""COMPUTED_VALUE"""),"")</f>
        <v/>
      </c>
      <c r="P624" s="67">
        <f>IFERROR(__xludf.DUMMYFUNCTION("""COMPUTED_VALUE"""),44270.0)</f>
        <v>44270</v>
      </c>
      <c r="Q624" s="68">
        <f>IFERROR(__xludf.DUMMYFUNCTION("""COMPUTED_VALUE"""),977.5)</f>
        <v>977.5</v>
      </c>
      <c r="R624" s="69" t="str">
        <f>IFERROR(__xludf.DUMMYFUNCTION("""COMPUTED_VALUE"""),"Morgan Stanley")</f>
        <v>Morgan Stanley</v>
      </c>
      <c r="S624" s="64">
        <f>IFERROR(__xludf.DUMMYFUNCTION("""COMPUTED_VALUE"""),45000.0)</f>
        <v>45000</v>
      </c>
      <c r="T624" s="70">
        <f>IFERROR(__xludf.DUMMYFUNCTION("""COMPUTED_VALUE"""),0.03561643835616438)</f>
        <v>0.03561643836</v>
      </c>
      <c r="U624" s="71" t="str">
        <f>IFERROR(__xludf.DUMMYFUNCTION("""COMPUTED_VALUE"""),"https://www.sec.gov/cgi-bin/browse-edgar?CIK=1828108")</f>
        <v>https://www.sec.gov/cgi-bin/browse-edgar?CIK=1828108</v>
      </c>
      <c r="V624" s="72" t="str">
        <f>IFERROR(__xludf.DUMMYFUNCTION("""COMPUTED_VALUE"""),"Venture Capital   $500M+ Trust     Well-known Sponsor Serial Sponsor Top Tier UW ")</f>
        <v>Venture Capital   $500M+ Trust     Well-known Sponsor Serial Sponsor Top Tier UW </v>
      </c>
      <c r="W624" s="73"/>
      <c r="X624" s="74"/>
      <c r="Y624" s="75"/>
      <c r="Z624" s="60"/>
      <c r="AA624" s="60"/>
      <c r="AB624" s="60"/>
      <c r="AC624" s="60"/>
      <c r="AD624" s="73"/>
      <c r="AE624" s="73"/>
      <c r="AF624" s="76"/>
      <c r="AG624" s="60"/>
    </row>
    <row r="625">
      <c r="A625" s="54" t="str">
        <f>IFERROR(__xludf.DUMMYFUNCTION("""COMPUTED_VALUE"""),"RTPZ")</f>
        <v>RTPZ</v>
      </c>
      <c r="B625" s="55" t="str">
        <f>IFERROR(__xludf.DUMMYFUNCTION("""COMPUTED_VALUE"""),"Reinvent Technology Partners Z")</f>
        <v>Reinvent Technology Partners Z</v>
      </c>
      <c r="C625" s="56" t="str">
        <f>IFERROR(__xludf.DUMMYFUNCTION("""COMPUTED_VALUE"""),"Definitive Agreement")</f>
        <v>Definitive Agreement</v>
      </c>
      <c r="D625" s="77" t="str">
        <f>IFERROR(__xludf.DUMMYFUNCTION("""COMPUTED_VALUE"""),"Consumer Internet, Mobile Gaming, Tech")</f>
        <v>Consumer Internet, Mobile Gaming, Tech</v>
      </c>
      <c r="E625" s="58" t="str">
        <f>IFERROR(__xludf.DUMMYFUNCTION("""COMPUTED_VALUE"""),"Hippo [DA: 03/04/21]")</f>
        <v>Hippo [DA: 03/04/21]</v>
      </c>
      <c r="F625" s="59" t="str">
        <f>IFERROR(__xludf.DUMMYFUNCTION("""COMPUTED_VALUE"""),"Reid Hoffman (Co-founder and Former CEO, LinkedIn; Former CEO, Paypal; Partner at Greylock), Mark Pincus (Chairman and Former CEO, Zynga), Julie Hanna (Exec Chair, Kiva), Lee Linden (Co-founder, Karma Science [acq. by Facebook])")</f>
        <v>Reid Hoffman (Co-founder and Former CEO, LinkedIn; Former CEO, Paypal; Partner at Greylock), Mark Pincus (Chairman and Former CEO, Zynga), Julie Hanna (Exec Chair, Kiva), Lee Linden (Co-founder, Karma Science [acq. by Facebook])</v>
      </c>
      <c r="G625" s="60">
        <f>IFERROR(__xludf.DUMMYFUNCTION("""COMPUTED_VALUE"""),2.30018693E8)</f>
        <v>230018693</v>
      </c>
      <c r="H625" s="60">
        <f>IFERROR(__xludf.DUMMYFUNCTION("""COMPUTED_VALUE"""),2.3276E8)</f>
        <v>232760000</v>
      </c>
      <c r="I625" s="66">
        <f>IFERROR(__xludf.DUMMYFUNCTION("""COMPUTED_VALUE"""),10.12)</f>
        <v>10.12</v>
      </c>
      <c r="J625" s="62">
        <f>IFERROR(__xludf.DUMMYFUNCTION("""COMPUTED_VALUE"""),-9.9E-4)</f>
        <v>-0.00099</v>
      </c>
      <c r="K625" s="59">
        <f>IFERROR(__xludf.DUMMYFUNCTION("""COMPUTED_VALUE"""),10.5)</f>
        <v>10.5</v>
      </c>
      <c r="L625" s="87">
        <f>IFERROR(__xludf.DUMMYFUNCTION("""COMPUTED_VALUE"""),1.75)</f>
        <v>1.75</v>
      </c>
      <c r="M625" s="64" t="str">
        <f>IFERROR(__xludf.DUMMYFUNCTION("""COMPUTED_VALUE"""),"U: [1/5 W]; W: [1:1, $11.5]")</f>
        <v>U: [1/5 W]; W: [1:1, $11.5]</v>
      </c>
      <c r="N625" s="65" t="str">
        <f>IFERROR(__xludf.DUMMYFUNCTION("""COMPUTED_VALUE"""),"")</f>
        <v/>
      </c>
      <c r="O625" s="66">
        <f>IFERROR(__xludf.DUMMYFUNCTION("""COMPUTED_VALUE"""),0.0)</f>
        <v>0</v>
      </c>
      <c r="P625" s="67">
        <f>IFERROR(__xludf.DUMMYFUNCTION("""COMPUTED_VALUE"""),44153.0)</f>
        <v>44153</v>
      </c>
      <c r="Q625" s="68">
        <f>IFERROR(__xludf.DUMMYFUNCTION("""COMPUTED_VALUE"""),230.0)</f>
        <v>230</v>
      </c>
      <c r="R625" s="69" t="str">
        <f>IFERROR(__xludf.DUMMYFUNCTION("""COMPUTED_VALUE"""),"Citigroup")</f>
        <v>Citigroup</v>
      </c>
      <c r="S625" s="64">
        <f>IFERROR(__xludf.DUMMYFUNCTION("""COMPUTED_VALUE"""),44883.0)</f>
        <v>44883</v>
      </c>
      <c r="T625" s="70">
        <f>IFERROR(__xludf.DUMMYFUNCTION("""COMPUTED_VALUE"""),0.1958904109589041)</f>
        <v>0.195890411</v>
      </c>
      <c r="U625" s="71" t="str">
        <f>IFERROR(__xludf.DUMMYFUNCTION("""COMPUTED_VALUE"""),"https://www.sec.gov/cgi-bin/browse-edgar?CIK=1828105")</f>
        <v>https://www.sec.gov/cgi-bin/browse-edgar?CIK=1828105</v>
      </c>
      <c r="V625" s="72" t="str">
        <f>IFERROR(__xludf.DUMMYFUNCTION("""COMPUTED_VALUE"""),"Venture Capital         Well-known Sponsor Serial Sponsor Top Tier UW ")</f>
        <v>Venture Capital         Well-known Sponsor Serial Sponsor Top Tier UW </v>
      </c>
      <c r="W625" s="73">
        <f>IFERROR(__xludf.DUMMYFUNCTION("""COMPUTED_VALUE"""),44259.0)</f>
        <v>44259</v>
      </c>
      <c r="X625" s="79">
        <f>IFERROR(__xludf.DUMMYFUNCTION("""COMPUTED_VALUE"""),3.533333333333333)</f>
        <v>3.533333333</v>
      </c>
      <c r="Y625" s="80" t="str">
        <f>IFERROR(__xludf.DUMMYFUNCTION("""COMPUTED_VALUE"""),"https://www.businesswire.com/news/home/20210304005356/en/Hippo-to-Go-Public-in-Merger-with-Reinvent-Technology-Partners-Z-Company-is-Transforming-the-Home-Insurance-Industry")</f>
        <v>https://www.businesswire.com/news/home/20210304005356/en/Hippo-to-Go-Public-in-Merger-with-Reinvent-Technology-Partners-Z-Company-is-Transforming-the-Home-Insurance-Industry</v>
      </c>
      <c r="Z625" s="81" t="str">
        <f>IFERROR(__xludf.DUMMYFUNCTION("""COMPUTED_VALUE"""),"https://www.sec.gov/Archives/edgar/data/1828105/000119312521068418/d117122dex991.htm")</f>
        <v>https://www.sec.gov/Archives/edgar/data/1828105/000119312521068418/d117122dex991.htm</v>
      </c>
      <c r="AA625" s="60">
        <f>IFERROR(__xludf.DUMMYFUNCTION("""COMPUTED_VALUE"""),5.5E8)</f>
        <v>550000000</v>
      </c>
      <c r="AB625" s="60">
        <f>IFERROR(__xludf.DUMMYFUNCTION("""COMPUTED_VALUE"""),6.216E9)</f>
        <v>6216000000</v>
      </c>
      <c r="AC625" s="60">
        <f>IFERROR(__xludf.DUMMYFUNCTION("""COMPUTED_VALUE"""),5.057E9)</f>
        <v>5057000000</v>
      </c>
      <c r="AD625" s="73"/>
      <c r="AE625" s="73"/>
      <c r="AF625" s="76">
        <f>IFERROR(__xludf.DUMMYFUNCTION("""COMPUTED_VALUE"""),6.216E8)</f>
        <v>621600000</v>
      </c>
      <c r="AG625" s="60">
        <f>IFERROR(__xludf.DUMMYFUNCTION("""COMPUTED_VALUE"""),6.290591999999999E9)</f>
        <v>6290592000</v>
      </c>
    </row>
    <row r="626">
      <c r="A626" s="88" t="str">
        <f>IFERROR(__xludf.DUMMYFUNCTION("""COMPUTED_VALUE"""),"RVAC")</f>
        <v>RVAC</v>
      </c>
      <c r="B626" s="55" t="str">
        <f>IFERROR(__xludf.DUMMYFUNCTION("""COMPUTED_VALUE"""),"Riverview Acquisition Corp.")</f>
        <v>Riverview Acquisition Corp.</v>
      </c>
      <c r="C626" s="56" t="str">
        <f>IFERROR(__xludf.DUMMYFUNCTION("""COMPUTED_VALUE"""),"Pre IPO")</f>
        <v>Pre IPO</v>
      </c>
      <c r="D626" s="57"/>
      <c r="E626" s="58"/>
      <c r="F626" s="59"/>
      <c r="G626" s="60">
        <f>IFERROR(__xludf.DUMMYFUNCTION("""COMPUTED_VALUE"""),2.5E8)</f>
        <v>250000000</v>
      </c>
      <c r="H626" s="60" t="str">
        <f>IFERROR(__xludf.DUMMYFUNCTION("""COMPUTED_VALUE""")," ")</f>
        <v> </v>
      </c>
      <c r="I626" s="66" t="str">
        <f>IFERROR(__xludf.DUMMYFUNCTION("""COMPUTED_VALUE""")," ")</f>
        <v> </v>
      </c>
      <c r="J626" s="62" t="str">
        <f>IFERROR(__xludf.DUMMYFUNCTION("""COMPUTED_VALUE""")," ")</f>
        <v> </v>
      </c>
      <c r="K626" s="59" t="str">
        <f>IFERROR(__xludf.DUMMYFUNCTION("""COMPUTED_VALUE""")," ")</f>
        <v> </v>
      </c>
      <c r="L626" s="87" t="str">
        <f>IFERROR(__xludf.DUMMYFUNCTION("""COMPUTED_VALUE""")," ")</f>
        <v> </v>
      </c>
      <c r="M626" s="64" t="str">
        <f>IFERROR(__xludf.DUMMYFUNCTION("""COMPUTED_VALUE"""),"U: [1/2 W]; W: [1:1, $11.5]")</f>
        <v>U: [1/2 W]; W: [1:1, $11.5]</v>
      </c>
      <c r="N626" s="65" t="str">
        <f>IFERROR(__xludf.DUMMYFUNCTION("""COMPUTED_VALUE"""),"")</f>
        <v/>
      </c>
      <c r="O626" s="66">
        <f>IFERROR(__xludf.DUMMYFUNCTION("""COMPUTED_VALUE"""),0.0)</f>
        <v>0</v>
      </c>
      <c r="P626" s="67"/>
      <c r="Q626" s="68">
        <f>IFERROR(__xludf.DUMMYFUNCTION("""COMPUTED_VALUE"""),250.0)</f>
        <v>250</v>
      </c>
      <c r="R626" s="69" t="str">
        <f>IFERROR(__xludf.DUMMYFUNCTION("""COMPUTED_VALUE"""),"BTIG")</f>
        <v>BTIG</v>
      </c>
      <c r="S626" s="64">
        <f>IFERROR(__xludf.DUMMYFUNCTION("""COMPUTED_VALUE"""),45086.0)</f>
        <v>45086</v>
      </c>
      <c r="T626" s="70" t="str">
        <f>IFERROR(__xludf.DUMMYFUNCTION("""COMPUTED_VALUE"""),"")</f>
        <v/>
      </c>
      <c r="U626" s="71" t="str">
        <f>IFERROR(__xludf.DUMMYFUNCTION("""COMPUTED_VALUE"""),"https://www.sec.gov/cgi-bin/browse-edgar?CIK=1846136")</f>
        <v>https://www.sec.gov/cgi-bin/browse-edgar?CIK=1846136</v>
      </c>
      <c r="V626" s="72" t="str">
        <f>IFERROR(__xludf.DUMMYFUNCTION("""COMPUTED_VALUE"""),"        New Registration    ")</f>
        <v>        New Registration    </v>
      </c>
      <c r="W626" s="73"/>
      <c r="X626" s="74"/>
      <c r="Y626" s="75"/>
      <c r="Z626" s="60"/>
      <c r="AA626" s="60"/>
      <c r="AB626" s="60"/>
      <c r="AC626" s="60"/>
      <c r="AD626" s="73"/>
      <c r="AE626" s="73"/>
      <c r="AF626" s="76"/>
      <c r="AG626" s="60"/>
    </row>
    <row r="627">
      <c r="A627" s="88" t="str">
        <f>IFERROR(__xludf.DUMMYFUNCTION("""COMPUTED_VALUE"""),"RXRA")</f>
        <v>RXRA</v>
      </c>
      <c r="B627" s="55" t="str">
        <f>IFERROR(__xludf.DUMMYFUNCTION("""COMPUTED_VALUE"""),"RXR Acquisition Corp.")</f>
        <v>RXR Acquisition Corp.</v>
      </c>
      <c r="C627" s="56" t="str">
        <f>IFERROR(__xludf.DUMMYFUNCTION("""COMPUTED_VALUE"""),"Searching (Pre Unit Split)")</f>
        <v>Searching (Pre Unit Split)</v>
      </c>
      <c r="D627" s="77" t="str">
        <f>IFERROR(__xludf.DUMMYFUNCTION("""COMPUTED_VALUE"""),"PropTech")</f>
        <v>PropTech</v>
      </c>
      <c r="E627" s="58"/>
      <c r="F627" s="59" t="str">
        <f>IFERROR(__xludf.DUMMYFUNCTION("""COMPUTED_VALUE"""),"Martin Luther King III (Fmr CEO, The King Center)")</f>
        <v>Martin Luther King III (Fmr CEO, The King Center)</v>
      </c>
      <c r="G627" s="60">
        <f>IFERROR(__xludf.DUMMYFUNCTION("""COMPUTED_VALUE"""),3.45E8)</f>
        <v>345000000</v>
      </c>
      <c r="H627" s="60" t="str">
        <f>IFERROR(__xludf.DUMMYFUNCTION("""COMPUTED_VALUE""")," ")</f>
        <v> </v>
      </c>
      <c r="I627" s="66" t="str">
        <f>IFERROR(__xludf.DUMMYFUNCTION("""COMPUTED_VALUE""")," ")</f>
        <v> </v>
      </c>
      <c r="J627" s="62" t="str">
        <f>IFERROR(__xludf.DUMMYFUNCTION("""COMPUTED_VALUE""")," ")</f>
        <v> </v>
      </c>
      <c r="K627" s="59">
        <f>IFERROR(__xludf.DUMMYFUNCTION("""COMPUTED_VALUE"""),10.03)</f>
        <v>10.03</v>
      </c>
      <c r="L627" s="87" t="str">
        <f>IFERROR(__xludf.DUMMYFUNCTION("""COMPUTED_VALUE""")," ")</f>
        <v> </v>
      </c>
      <c r="M627" s="64" t="str">
        <f>IFERROR(__xludf.DUMMYFUNCTION("""COMPUTED_VALUE"""),"U: [1/5 W]; W: [1:1, $11.5]")</f>
        <v>U: [1/5 W]; W: [1:1, $11.5]</v>
      </c>
      <c r="N627" s="65">
        <f>IFERROR(__xludf.DUMMYFUNCTION("""COMPUTED_VALUE"""),44311.0)</f>
        <v>44311</v>
      </c>
      <c r="O627" s="66" t="str">
        <f>IFERROR(__xludf.DUMMYFUNCTION("""COMPUTED_VALUE"""),"")</f>
        <v/>
      </c>
      <c r="P627" s="67">
        <f>IFERROR(__xludf.DUMMYFUNCTION("""COMPUTED_VALUE"""),44259.0)</f>
        <v>44259</v>
      </c>
      <c r="Q627" s="68">
        <f>IFERROR(__xludf.DUMMYFUNCTION("""COMPUTED_VALUE"""),345.0)</f>
        <v>345</v>
      </c>
      <c r="R627" s="69" t="str">
        <f>IFERROR(__xludf.DUMMYFUNCTION("""COMPUTED_VALUE"""),"Goldman Sachs &amp; Co. LLC, BofA Securities")</f>
        <v>Goldman Sachs &amp; Co. LLC, BofA Securities</v>
      </c>
      <c r="S627" s="64">
        <f>IFERROR(__xludf.DUMMYFUNCTION("""COMPUTED_VALUE"""),44989.0)</f>
        <v>44989</v>
      </c>
      <c r="T627" s="70">
        <f>IFERROR(__xludf.DUMMYFUNCTION("""COMPUTED_VALUE"""),0.050684931506849315)</f>
        <v>0.05068493151</v>
      </c>
      <c r="U627" s="71" t="str">
        <f>IFERROR(__xludf.DUMMYFUNCTION("""COMPUTED_VALUE"""),"https://www.sec.gov/cgi-bin/browse-edgar?CIK=1840463")</f>
        <v>https://www.sec.gov/cgi-bin/browse-edgar?CIK=1840463</v>
      </c>
      <c r="V627" s="72" t="str">
        <f>IFERROR(__xludf.DUMMYFUNCTION("""COMPUTED_VALUE"""),"           Top Tier UW ")</f>
        <v>           Top Tier UW </v>
      </c>
      <c r="W627" s="73"/>
      <c r="X627" s="74"/>
      <c r="Y627" s="75"/>
      <c r="Z627" s="60"/>
      <c r="AA627" s="60"/>
      <c r="AB627" s="60"/>
      <c r="AC627" s="60"/>
      <c r="AD627" s="73"/>
      <c r="AE627" s="73"/>
      <c r="AF627" s="76"/>
      <c r="AG627" s="60"/>
    </row>
    <row r="628">
      <c r="A628" s="88" t="str">
        <f>IFERROR(__xludf.DUMMYFUNCTION("""COMPUTED_VALUE"""),"SACQ")</f>
        <v>SACQ</v>
      </c>
      <c r="B628" s="55" t="str">
        <f>IFERROR(__xludf.DUMMYFUNCTION("""COMPUTED_VALUE"""),"Silverman Acquisition Corp I")</f>
        <v>Silverman Acquisition Corp I</v>
      </c>
      <c r="C628" s="56" t="str">
        <f>IFERROR(__xludf.DUMMYFUNCTION("""COMPUTED_VALUE"""),"Pre IPO")</f>
        <v>Pre IPO</v>
      </c>
      <c r="D628" s="57" t="str">
        <f>IFERROR(__xludf.DUMMYFUNCTION("""COMPUTED_VALUE"""),"Consumer and Business Services")</f>
        <v>Consumer and Business Services</v>
      </c>
      <c r="E628" s="58"/>
      <c r="F628" s="59" t="str">
        <f>IFERROR(__xludf.DUMMYFUNCTION("""COMPUTED_VALUE"""),"Henry Silverman (Former COO &amp; Vice Chairman of Apollo Global Management and Former CEO &amp; Chairman of Cendant), Stephen Holmes (Former Chairman &amp; CEO of Wyndham Worldwide)")</f>
        <v>Henry Silverman (Former COO &amp; Vice Chairman of Apollo Global Management and Former CEO &amp; Chairman of Cendant), Stephen Holmes (Former Chairman &amp; CEO of Wyndham Worldwide)</v>
      </c>
      <c r="G628" s="60">
        <f>IFERROR(__xludf.DUMMYFUNCTION("""COMPUTED_VALUE"""),2.5E8)</f>
        <v>250000000</v>
      </c>
      <c r="H628" s="60" t="str">
        <f>IFERROR(__xludf.DUMMYFUNCTION("""COMPUTED_VALUE""")," ")</f>
        <v> </v>
      </c>
      <c r="I628" s="66" t="str">
        <f>IFERROR(__xludf.DUMMYFUNCTION("""COMPUTED_VALUE""")," ")</f>
        <v> </v>
      </c>
      <c r="J628" s="62" t="str">
        <f>IFERROR(__xludf.DUMMYFUNCTION("""COMPUTED_VALUE""")," ")</f>
        <v> </v>
      </c>
      <c r="K628" s="59" t="str">
        <f>IFERROR(__xludf.DUMMYFUNCTION("""COMPUTED_VALUE""")," ")</f>
        <v> </v>
      </c>
      <c r="L628" s="87" t="str">
        <f>IFERROR(__xludf.DUMMYFUNCTION("""COMPUTED_VALUE""")," ")</f>
        <v> </v>
      </c>
      <c r="M628" s="64" t="str">
        <f>IFERROR(__xludf.DUMMYFUNCTION("""COMPUTED_VALUE"""),"U: [1/3 W]; W: [1:1, $11.5]")</f>
        <v>U: [1/3 W]; W: [1:1, $11.5]</v>
      </c>
      <c r="N628" s="65" t="str">
        <f>IFERROR(__xludf.DUMMYFUNCTION("""COMPUTED_VALUE"""),"")</f>
        <v/>
      </c>
      <c r="O628" s="66">
        <f>IFERROR(__xludf.DUMMYFUNCTION("""COMPUTED_VALUE"""),0.0)</f>
        <v>0</v>
      </c>
      <c r="P628" s="67"/>
      <c r="Q628" s="68">
        <f>IFERROR(__xludf.DUMMYFUNCTION("""COMPUTED_VALUE"""),250.0)</f>
        <v>250</v>
      </c>
      <c r="R628" s="69" t="str">
        <f>IFERROR(__xludf.DUMMYFUNCTION("""COMPUTED_VALUE"""),"J.P. Morgan")</f>
        <v>J.P. Morgan</v>
      </c>
      <c r="S628" s="64">
        <f>IFERROR(__xludf.DUMMYFUNCTION("""COMPUTED_VALUE"""),45086.0)</f>
        <v>45086</v>
      </c>
      <c r="T628" s="70" t="str">
        <f>IFERROR(__xludf.DUMMYFUNCTION("""COMPUTED_VALUE"""),"")</f>
        <v/>
      </c>
      <c r="U628" s="71" t="str">
        <f>IFERROR(__xludf.DUMMYFUNCTION("""COMPUTED_VALUE"""),"https://www.sec.gov/cgi-bin/browse-edgar?CIK=1845734")</f>
        <v>https://www.sec.gov/cgi-bin/browse-edgar?CIK=1845734</v>
      </c>
      <c r="V628" s="72" t="str">
        <f>IFERROR(__xludf.DUMMYFUNCTION("""COMPUTED_VALUE"""),"         Well-known Sponsor   ")</f>
        <v>         Well-known Sponsor   </v>
      </c>
      <c r="W628" s="73"/>
      <c r="X628" s="74"/>
      <c r="Y628" s="75"/>
      <c r="Z628" s="60"/>
      <c r="AA628" s="60"/>
      <c r="AB628" s="60"/>
      <c r="AC628" s="60"/>
      <c r="AD628" s="73"/>
      <c r="AE628" s="73"/>
      <c r="AF628" s="76"/>
      <c r="AG628" s="60"/>
    </row>
    <row r="629">
      <c r="A629" s="54" t="str">
        <f>IFERROR(__xludf.DUMMYFUNCTION("""COMPUTED_VALUE"""),"SAII")</f>
        <v>SAII</v>
      </c>
      <c r="B629" s="55" t="str">
        <f>IFERROR(__xludf.DUMMYFUNCTION("""COMPUTED_VALUE"""),"Software Acquisition Group Inc. II")</f>
        <v>Software Acquisition Group Inc. II</v>
      </c>
      <c r="C629" s="56" t="str">
        <f>IFERROR(__xludf.DUMMYFUNCTION("""COMPUTED_VALUE"""),"Definitive Agreement")</f>
        <v>Definitive Agreement</v>
      </c>
      <c r="D629" s="57" t="str">
        <f>IFERROR(__xludf.DUMMYFUNCTION("""COMPUTED_VALUE"""),"Software, Tech")</f>
        <v>Software, Tech</v>
      </c>
      <c r="E629" s="58" t="str">
        <f>IFERROR(__xludf.DUMMYFUNCTION("""COMPUTED_VALUE"""),"Otonomo [DA: 02/01/21]")</f>
        <v>Otonomo [DA: 02/01/21]</v>
      </c>
      <c r="F629" s="59" t="str">
        <f>IFERROR(__xludf.DUMMYFUNCTION("""COMPUTED_VALUE"""),"Jonathan Huberman (Software Acquisition Group)")</f>
        <v>Jonathan Huberman (Software Acquisition Group)</v>
      </c>
      <c r="G629" s="60">
        <f>IFERROR(__xludf.DUMMYFUNCTION("""COMPUTED_VALUE"""),1.72503002E8)</f>
        <v>172503002</v>
      </c>
      <c r="H629" s="60">
        <f>IFERROR(__xludf.DUMMYFUNCTION("""COMPUTED_VALUE"""),1.754325E8)</f>
        <v>175432500</v>
      </c>
      <c r="I629" s="66">
        <f>IFERROR(__xludf.DUMMYFUNCTION("""COMPUTED_VALUE"""),10.17)</f>
        <v>10.17</v>
      </c>
      <c r="J629" s="62">
        <f>IFERROR(__xludf.DUMMYFUNCTION("""COMPUTED_VALUE"""),-0.00392)</f>
        <v>-0.00392</v>
      </c>
      <c r="K629" s="59">
        <f>IFERROR(__xludf.DUMMYFUNCTION("""COMPUTED_VALUE"""),10.98)</f>
        <v>10.98</v>
      </c>
      <c r="L629" s="87">
        <f>IFERROR(__xludf.DUMMYFUNCTION("""COMPUTED_VALUE"""),1.88)</f>
        <v>1.88</v>
      </c>
      <c r="M629" s="64" t="str">
        <f>IFERROR(__xludf.DUMMYFUNCTION("""COMPUTED_VALUE"""),"U: [1/2 W]; W: [1:1, $11.5]")</f>
        <v>U: [1/2 W]; W: [1:1, $11.5]</v>
      </c>
      <c r="N629" s="65" t="str">
        <f>IFERROR(__xludf.DUMMYFUNCTION("""COMPUTED_VALUE"""),"")</f>
        <v/>
      </c>
      <c r="O629" s="66">
        <f>IFERROR(__xludf.DUMMYFUNCTION("""COMPUTED_VALUE"""),0.0)</f>
        <v>0</v>
      </c>
      <c r="P629" s="67">
        <f>IFERROR(__xludf.DUMMYFUNCTION("""COMPUTED_VALUE"""),44088.0)</f>
        <v>44088</v>
      </c>
      <c r="Q629" s="68">
        <f>IFERROR(__xludf.DUMMYFUNCTION("""COMPUTED_VALUE"""),172.5)</f>
        <v>172.5</v>
      </c>
      <c r="R629" s="69" t="str">
        <f>IFERROR(__xludf.DUMMYFUNCTION("""COMPUTED_VALUE"""),"B. Riley FBR")</f>
        <v>B. Riley FBR</v>
      </c>
      <c r="S629" s="64">
        <f>IFERROR(__xludf.DUMMYFUNCTION("""COMPUTED_VALUE"""),44818.0)</f>
        <v>44818</v>
      </c>
      <c r="T629" s="70">
        <f>IFERROR(__xludf.DUMMYFUNCTION("""COMPUTED_VALUE"""),0.28493150684931506)</f>
        <v>0.2849315068</v>
      </c>
      <c r="U629" s="71" t="str">
        <f>IFERROR(__xludf.DUMMYFUNCTION("""COMPUTED_VALUE"""),"https://www.sec.gov/cgi-bin/browse-edgar?CIK=1816048")</f>
        <v>https://www.sec.gov/cgi-bin/browse-edgar?CIK=1816048</v>
      </c>
      <c r="V629" s="72" t="str">
        <f>IFERROR(__xludf.DUMMYFUNCTION("""COMPUTED_VALUE"""),"     Optionable       ")</f>
        <v>     Optionable       </v>
      </c>
      <c r="W629" s="73">
        <f>IFERROR(__xludf.DUMMYFUNCTION("""COMPUTED_VALUE"""),44228.0)</f>
        <v>44228</v>
      </c>
      <c r="X629" s="79">
        <f>IFERROR(__xludf.DUMMYFUNCTION("""COMPUTED_VALUE"""),4.666666666666667)</f>
        <v>4.666666667</v>
      </c>
      <c r="Y629" s="80" t="str">
        <f>IFERROR(__xludf.DUMMYFUNCTION("""COMPUTED_VALUE"""),"https://www.businesswire.com/news/home/20210201005417/en/Otonomo-Leading-Platform-and-Marketplace-for-Vehicle-Data-to-List-on-Nasdaq-Through-a-Business-Combination-with-Software-Acquisition-Group-Inc.-II")</f>
        <v>https://www.businesswire.com/news/home/20210201005417/en/Otonomo-Leading-Platform-and-Marketplace-for-Vehicle-Data-to-List-on-Nasdaq-Through-a-Business-Combination-with-Software-Acquisition-Group-Inc.-II</v>
      </c>
      <c r="Z629" s="81" t="str">
        <f>IFERROR(__xludf.DUMMYFUNCTION("""COMPUTED_VALUE"""),"https://www.sec.gov/Archives/edgar/data/1816048/000121390021005574/ea134301ex99-2_software2.htm")</f>
        <v>https://www.sec.gov/Archives/edgar/data/1816048/000121390021005574/ea134301ex99-2_software2.htm</v>
      </c>
      <c r="AA629" s="60">
        <f>IFERROR(__xludf.DUMMYFUNCTION("""COMPUTED_VALUE"""),1.725E8)</f>
        <v>172500000</v>
      </c>
      <c r="AB629" s="60">
        <f>IFERROR(__xludf.DUMMYFUNCTION("""COMPUTED_VALUE"""),1.408E9)</f>
        <v>1408000000</v>
      </c>
      <c r="AC629" s="60">
        <f>IFERROR(__xludf.DUMMYFUNCTION("""COMPUTED_VALUE"""),1.1005E9)</f>
        <v>1100500000</v>
      </c>
      <c r="AD629" s="73"/>
      <c r="AE629" s="73"/>
      <c r="AF629" s="76">
        <f>IFERROR(__xludf.DUMMYFUNCTION("""COMPUTED_VALUE"""),1.408E8)</f>
        <v>140800000</v>
      </c>
      <c r="AG629" s="60">
        <f>IFERROR(__xludf.DUMMYFUNCTION("""COMPUTED_VALUE"""),1.431936E9)</f>
        <v>1431936000</v>
      </c>
    </row>
    <row r="630">
      <c r="A630" s="88" t="str">
        <f>IFERROR(__xludf.DUMMYFUNCTION("""COMPUTED_VALUE"""),"SAMA")</f>
        <v>SAMA</v>
      </c>
      <c r="B630" s="55" t="str">
        <f>IFERROR(__xludf.DUMMYFUNCTION("""COMPUTED_VALUE"""),"Schultze Special Purpose Acquisition Corp. II")</f>
        <v>Schultze Special Purpose Acquisition Corp. II</v>
      </c>
      <c r="C630" s="56" t="str">
        <f>IFERROR(__xludf.DUMMYFUNCTION("""COMPUTED_VALUE"""),"Pre IPO")</f>
        <v>Pre IPO</v>
      </c>
      <c r="D630" s="77" t="str">
        <f>IFERROR(__xludf.DUMMYFUNCTION("""COMPUTED_VALUE"""),"Liquidity constraints, financially stressed, emerging from financial restructuring")</f>
        <v>Liquidity constraints, financially stressed, emerging from financial restructuring</v>
      </c>
      <c r="E630" s="58"/>
      <c r="F630" s="59"/>
      <c r="G630" s="60">
        <f>IFERROR(__xludf.DUMMYFUNCTION("""COMPUTED_VALUE"""),2.0E8)</f>
        <v>200000000</v>
      </c>
      <c r="H630" s="60" t="str">
        <f>IFERROR(__xludf.DUMMYFUNCTION("""COMPUTED_VALUE""")," ")</f>
        <v> </v>
      </c>
      <c r="I630" s="66" t="str">
        <f>IFERROR(__xludf.DUMMYFUNCTION("""COMPUTED_VALUE""")," ")</f>
        <v> </v>
      </c>
      <c r="J630" s="62" t="str">
        <f>IFERROR(__xludf.DUMMYFUNCTION("""COMPUTED_VALUE""")," ")</f>
        <v> </v>
      </c>
      <c r="K630" s="59" t="str">
        <f>IFERROR(__xludf.DUMMYFUNCTION("""COMPUTED_VALUE""")," ")</f>
        <v> </v>
      </c>
      <c r="L630" s="87" t="str">
        <f>IFERROR(__xludf.DUMMYFUNCTION("""COMPUTED_VALUE""")," ")</f>
        <v> </v>
      </c>
      <c r="M630" s="64" t="str">
        <f>IFERROR(__xludf.DUMMYFUNCTION("""COMPUTED_VALUE"""),"U: [1/3 W]; W: [1:1, $11.5]")</f>
        <v>U: [1/3 W]; W: [1:1, $11.5]</v>
      </c>
      <c r="N630" s="65" t="str">
        <f>IFERROR(__xludf.DUMMYFUNCTION("""COMPUTED_VALUE"""),"")</f>
        <v/>
      </c>
      <c r="O630" s="66">
        <f>IFERROR(__xludf.DUMMYFUNCTION("""COMPUTED_VALUE"""),0.0)</f>
        <v>0</v>
      </c>
      <c r="P630" s="67"/>
      <c r="Q630" s="68">
        <f>IFERROR(__xludf.DUMMYFUNCTION("""COMPUTED_VALUE"""),200.0)</f>
        <v>200</v>
      </c>
      <c r="R630" s="69" t="str">
        <f>IFERROR(__xludf.DUMMYFUNCTION("""COMPUTED_VALUE"""),"Stifel, Mizuho Securities")</f>
        <v>Stifel, Mizuho Securities</v>
      </c>
      <c r="S630" s="64">
        <f>IFERROR(__xludf.DUMMYFUNCTION("""COMPUTED_VALUE"""),45086.0)</f>
        <v>45086</v>
      </c>
      <c r="T630" s="70" t="str">
        <f>IFERROR(__xludf.DUMMYFUNCTION("""COMPUTED_VALUE"""),"")</f>
        <v/>
      </c>
      <c r="U630" s="71" t="str">
        <f>IFERROR(__xludf.DUMMYFUNCTION("""COMPUTED_VALUE"""),"https://www.sec.gov/cgi-bin/browse-edgar?CIK=1843100")</f>
        <v>https://www.sec.gov/cgi-bin/browse-edgar?CIK=1843100</v>
      </c>
      <c r="V630" s="72" t="str">
        <f>IFERROR(__xludf.DUMMYFUNCTION("""COMPUTED_VALUE"""),"            ")</f>
        <v>            </v>
      </c>
      <c r="W630" s="73"/>
      <c r="X630" s="74"/>
      <c r="Y630" s="75"/>
      <c r="Z630" s="60"/>
      <c r="AA630" s="60"/>
      <c r="AB630" s="60"/>
      <c r="AC630" s="60"/>
      <c r="AD630" s="73"/>
      <c r="AE630" s="73"/>
      <c r="AF630" s="76"/>
      <c r="AG630" s="60"/>
    </row>
    <row r="631">
      <c r="A631" s="88" t="str">
        <f>IFERROR(__xludf.DUMMYFUNCTION("""COMPUTED_VALUE"""),"SBEA")</f>
        <v>SBEA</v>
      </c>
      <c r="B631" s="55" t="str">
        <f>IFERROR(__xludf.DUMMYFUNCTION("""COMPUTED_VALUE"""),"SilverBox Engaged Merger Corp I")</f>
        <v>SilverBox Engaged Merger Corp I</v>
      </c>
      <c r="C631" s="56" t="str">
        <f>IFERROR(__xludf.DUMMYFUNCTION("""COMPUTED_VALUE"""),"Searching (Pre Unit Split)")</f>
        <v>Searching (Pre Unit Split)</v>
      </c>
      <c r="D631" s="57"/>
      <c r="E631" s="58"/>
      <c r="F631" s="59" t="str">
        <f>IFERROR(__xludf.DUMMYFUNCTION("""COMPUTED_VALUE"""),"Stephen Kadenacy (Former COO, AECOM)")</f>
        <v>Stephen Kadenacy (Former COO, AECOM)</v>
      </c>
      <c r="G631" s="60">
        <f>IFERROR(__xludf.DUMMYFUNCTION("""COMPUTED_VALUE"""),3.45E8)</f>
        <v>345000000</v>
      </c>
      <c r="H631" s="60" t="str">
        <f>IFERROR(__xludf.DUMMYFUNCTION("""COMPUTED_VALUE""")," ")</f>
        <v> </v>
      </c>
      <c r="I631" s="66" t="str">
        <f>IFERROR(__xludf.DUMMYFUNCTION("""COMPUTED_VALUE""")," ")</f>
        <v> </v>
      </c>
      <c r="J631" s="62" t="str">
        <f>IFERROR(__xludf.DUMMYFUNCTION("""COMPUTED_VALUE""")," ")</f>
        <v> </v>
      </c>
      <c r="K631" s="59">
        <f>IFERROR(__xludf.DUMMYFUNCTION("""COMPUTED_VALUE"""),10.0)</f>
        <v>10</v>
      </c>
      <c r="L631" s="87" t="str">
        <f>IFERROR(__xludf.DUMMYFUNCTION("""COMPUTED_VALUE""")," ")</f>
        <v> </v>
      </c>
      <c r="M631" s="64" t="str">
        <f>IFERROR(__xludf.DUMMYFUNCTION("""COMPUTED_VALUE"""),"U: [1/3 W]; W: [1:1, $11.5]")</f>
        <v>U: [1/3 W]; W: [1:1, $11.5]</v>
      </c>
      <c r="N631" s="65">
        <f>IFERROR(__xludf.DUMMYFUNCTION("""COMPUTED_VALUE"""),44304.0)</f>
        <v>44304</v>
      </c>
      <c r="O631" s="66" t="str">
        <f>IFERROR(__xludf.DUMMYFUNCTION("""COMPUTED_VALUE"""),"")</f>
        <v/>
      </c>
      <c r="P631" s="67">
        <f>IFERROR(__xludf.DUMMYFUNCTION("""COMPUTED_VALUE"""),44252.0)</f>
        <v>44252</v>
      </c>
      <c r="Q631" s="68">
        <f>IFERROR(__xludf.DUMMYFUNCTION("""COMPUTED_VALUE"""),345.0)</f>
        <v>345</v>
      </c>
      <c r="R631" s="69" t="str">
        <f>IFERROR(__xludf.DUMMYFUNCTION("""COMPUTED_VALUE"""),"Citigroup, Deutsche Bank Securities")</f>
        <v>Citigroup, Deutsche Bank Securities</v>
      </c>
      <c r="S631" s="64">
        <f>IFERROR(__xludf.DUMMYFUNCTION("""COMPUTED_VALUE"""),44982.0)</f>
        <v>44982</v>
      </c>
      <c r="T631" s="70">
        <f>IFERROR(__xludf.DUMMYFUNCTION("""COMPUTED_VALUE"""),0.06027397260273973)</f>
        <v>0.0602739726</v>
      </c>
      <c r="U631" s="71" t="str">
        <f>IFERROR(__xludf.DUMMYFUNCTION("""COMPUTED_VALUE"""),"https://www.sec.gov/cgi-bin/browse-edgar?CIK=1836707")</f>
        <v>https://www.sec.gov/cgi-bin/browse-edgar?CIK=1836707</v>
      </c>
      <c r="V631" s="72" t="str">
        <f>IFERROR(__xludf.DUMMYFUNCTION("""COMPUTED_VALUE"""),"           Top Tier UW ")</f>
        <v>           Top Tier UW </v>
      </c>
      <c r="W631" s="73"/>
      <c r="X631" s="74"/>
      <c r="Y631" s="75"/>
      <c r="Z631" s="60"/>
      <c r="AA631" s="60"/>
      <c r="AB631" s="60"/>
      <c r="AC631" s="60"/>
      <c r="AD631" s="73"/>
      <c r="AE631" s="73"/>
      <c r="AF631" s="76"/>
      <c r="AG631" s="60"/>
    </row>
    <row r="632">
      <c r="A632" s="54" t="str">
        <f>IFERROR(__xludf.DUMMYFUNCTION("""COMPUTED_VALUE"""),"SBG")</f>
        <v>SBG</v>
      </c>
      <c r="B632" s="55" t="str">
        <f>IFERROR(__xludf.DUMMYFUNCTION("""COMPUTED_VALUE"""),"Sandbridge Acquisition Corporation")</f>
        <v>Sandbridge Acquisition Corporation</v>
      </c>
      <c r="C632" s="56" t="str">
        <f>IFERROR(__xludf.DUMMYFUNCTION("""COMPUTED_VALUE"""),"Definitive Agreement")</f>
        <v>Definitive Agreement</v>
      </c>
      <c r="D632" s="57" t="str">
        <f>IFERROR(__xludf.DUMMYFUNCTION("""COMPUTED_VALUE"""),"Consumer")</f>
        <v>Consumer</v>
      </c>
      <c r="E632" s="58" t="str">
        <f>IFERROR(__xludf.DUMMYFUNCTION("""COMPUTED_VALUE"""),"Owlet [DA: 02/16/21]")</f>
        <v>Owlet [DA: 02/16/21]</v>
      </c>
      <c r="F632" s="59" t="str">
        <f>IFERROR(__xludf.DUMMYFUNCTION("""COMPUTED_VALUE"""),"Tommy Hilfiger, Domenico De Sole (Co-Founder of Tom Ford and Former CEO of Gucci), Ken Suslow (Founder, Sandbridge Capital)")</f>
        <v>Tommy Hilfiger, Domenico De Sole (Co-Founder of Tom Ford and Former CEO of Gucci), Ken Suslow (Founder, Sandbridge Capital)</v>
      </c>
      <c r="G632" s="60">
        <f>IFERROR(__xludf.DUMMYFUNCTION("""COMPUTED_VALUE"""),2.30006152E8)</f>
        <v>230006152</v>
      </c>
      <c r="H632" s="60">
        <f>IFERROR(__xludf.DUMMYFUNCTION("""COMPUTED_VALUE"""),2.28275E8)</f>
        <v>228275000</v>
      </c>
      <c r="I632" s="66">
        <f>IFERROR(__xludf.DUMMYFUNCTION("""COMPUTED_VALUE"""),9.925)</f>
        <v>9.925</v>
      </c>
      <c r="J632" s="62">
        <f>IFERROR(__xludf.DUMMYFUNCTION("""COMPUTED_VALUE"""),5.0E-4)</f>
        <v>0.0005</v>
      </c>
      <c r="K632" s="59">
        <f>IFERROR(__xludf.DUMMYFUNCTION("""COMPUTED_VALUE"""),10.31)</f>
        <v>10.31</v>
      </c>
      <c r="L632" s="87">
        <f>IFERROR(__xludf.DUMMYFUNCTION("""COMPUTED_VALUE"""),1.0099)</f>
        <v>1.0099</v>
      </c>
      <c r="M632" s="64" t="str">
        <f>IFERROR(__xludf.DUMMYFUNCTION("""COMPUTED_VALUE"""),"U: [1/2 W]; W: [1:1, $11.5]")</f>
        <v>U: [1/2 W]; W: [1:1, $11.5]</v>
      </c>
      <c r="N632" s="65" t="str">
        <f>IFERROR(__xludf.DUMMYFUNCTION("""COMPUTED_VALUE"""),"")</f>
        <v/>
      </c>
      <c r="O632" s="66">
        <f>IFERROR(__xludf.DUMMYFUNCTION("""COMPUTED_VALUE"""),0.0)</f>
        <v>0</v>
      </c>
      <c r="P632" s="67">
        <f>IFERROR(__xludf.DUMMYFUNCTION("""COMPUTED_VALUE"""),44089.0)</f>
        <v>44089</v>
      </c>
      <c r="Q632" s="68">
        <f>IFERROR(__xludf.DUMMYFUNCTION("""COMPUTED_VALUE"""),230.0)</f>
        <v>230</v>
      </c>
      <c r="R632" s="69" t="str">
        <f>IFERROR(__xludf.DUMMYFUNCTION("""COMPUTED_VALUE"""),"Citigroup, UBS")</f>
        <v>Citigroup, UBS</v>
      </c>
      <c r="S632" s="64">
        <f>IFERROR(__xludf.DUMMYFUNCTION("""COMPUTED_VALUE"""),44819.0)</f>
        <v>44819</v>
      </c>
      <c r="T632" s="70">
        <f>IFERROR(__xludf.DUMMYFUNCTION("""COMPUTED_VALUE"""),0.28356164383561644)</f>
        <v>0.2835616438</v>
      </c>
      <c r="U632" s="71" t="str">
        <f>IFERROR(__xludf.DUMMYFUNCTION("""COMPUTED_VALUE"""),"https://www.sec.gov/cgi-bin/browse-edgar?CIK=1816708")</f>
        <v>https://www.sec.gov/cgi-bin/browse-edgar?CIK=1816708</v>
      </c>
      <c r="V632" s="72" t="str">
        <f>IFERROR(__xludf.DUMMYFUNCTION("""COMPUTED_VALUE"""),"Venture Capital Trading Below $10 (Common)        Well-known Sponsor  Top Tier UW ")</f>
        <v>Venture Capital Trading Below $10 (Common)        Well-known Sponsor  Top Tier UW </v>
      </c>
      <c r="W632" s="73">
        <f>IFERROR(__xludf.DUMMYFUNCTION("""COMPUTED_VALUE"""),44243.0)</f>
        <v>44243</v>
      </c>
      <c r="X632" s="74"/>
      <c r="Y632" s="80" t="str">
        <f>IFERROR(__xludf.DUMMYFUNCTION("""COMPUTED_VALUE"""),"https://www.businesswire.com/news/home/20210216005505/en/Owlet-Baby-Care%C2%A0the%C2%A0Connected%C2%A0Nursery-Ecosystem%C2%A0that%C2%A0Delivers-Data-Driven%C2%A0Technology-to-Modern-Parenting-to-Become-Publicly%C2%A0Traded-via-Merger-with-Sandbridge%C2%A0"&amp;"Acquisition%C2%A0Corporation")</f>
        <v>https://www.businesswire.com/news/home/20210216005505/en/Owlet-Baby-Care%C2%A0the%C2%A0Connected%C2%A0Nursery-Ecosystem%C2%A0that%C2%A0Delivers-Data-Driven%C2%A0Technology-to-Modern-Parenting-to-Become-Publicly%C2%A0Traded-via-Merger-with-Sandbridge%C2%A0Acquisition%C2%A0Corporation</v>
      </c>
      <c r="Z632" s="81" t="str">
        <f>IFERROR(__xludf.DUMMYFUNCTION("""COMPUTED_VALUE"""),"https://www.sec.gov/Archives/edgar/data/1816708/000114036121004864/nt10020073x2_ex99-2.htm")</f>
        <v>https://www.sec.gov/Archives/edgar/data/1816708/000114036121004864/nt10020073x2_ex99-2.htm</v>
      </c>
      <c r="AA632" s="60">
        <f>IFERROR(__xludf.DUMMYFUNCTION("""COMPUTED_VALUE"""),1.3E8)</f>
        <v>130000000</v>
      </c>
      <c r="AB632" s="60">
        <f>IFERROR(__xludf.DUMMYFUNCTION("""COMPUTED_VALUE"""),1.389E9)</f>
        <v>1389000000</v>
      </c>
      <c r="AC632" s="60">
        <f>IFERROR(__xludf.DUMMYFUNCTION("""COMPUTED_VALUE"""),1.074E9)</f>
        <v>1074000000</v>
      </c>
      <c r="AD632" s="73"/>
      <c r="AE632" s="73"/>
      <c r="AF632" s="76">
        <f>IFERROR(__xludf.DUMMYFUNCTION("""COMPUTED_VALUE"""),1.389E8)</f>
        <v>138900000</v>
      </c>
      <c r="AG632" s="60">
        <f>IFERROR(__xludf.DUMMYFUNCTION("""COMPUTED_VALUE"""),1.3785825E9)</f>
        <v>1378582500</v>
      </c>
    </row>
    <row r="633">
      <c r="A633" s="88" t="str">
        <f>IFERROR(__xludf.DUMMYFUNCTION("""COMPUTED_VALUE"""),"SBII")</f>
        <v>SBII</v>
      </c>
      <c r="B633" s="55" t="str">
        <f>IFERROR(__xludf.DUMMYFUNCTION("""COMPUTED_VALUE"""),"Sandbridge X2 Corp")</f>
        <v>Sandbridge X2 Corp</v>
      </c>
      <c r="C633" s="56" t="str">
        <f>IFERROR(__xludf.DUMMYFUNCTION("""COMPUTED_VALUE"""),"Searching (Pre Unit Split)")</f>
        <v>Searching (Pre Unit Split)</v>
      </c>
      <c r="D633" s="57" t="str">
        <f>IFERROR(__xludf.DUMMYFUNCTION("""COMPUTED_VALUE"""),"Consumer Tech, Beauty &amp; Personal Care, Luxury, Health and Wellness")</f>
        <v>Consumer Tech, Beauty &amp; Personal Care, Luxury, Health and Wellness</v>
      </c>
      <c r="E633" s="58"/>
      <c r="F633" s="59" t="str">
        <f>IFERROR(__xludf.DUMMYFUNCTION("""COMPUTED_VALUE"""),"Domenico De Sole (Co-Founder of Tom Ford and Former CEO of Gucci), Ken Suslow (Founder, Sandbridge Capital)")</f>
        <v>Domenico De Sole (Co-Founder of Tom Ford and Former CEO of Gucci), Ken Suslow (Founder, Sandbridge Capital)</v>
      </c>
      <c r="G633" s="60">
        <f>IFERROR(__xludf.DUMMYFUNCTION("""COMPUTED_VALUE"""),2.3817701E8)</f>
        <v>238177010</v>
      </c>
      <c r="H633" s="60" t="str">
        <f>IFERROR(__xludf.DUMMYFUNCTION("""COMPUTED_VALUE""")," ")</f>
        <v> </v>
      </c>
      <c r="I633" s="66" t="str">
        <f>IFERROR(__xludf.DUMMYFUNCTION("""COMPUTED_VALUE""")," ")</f>
        <v> </v>
      </c>
      <c r="J633" s="62" t="str">
        <f>IFERROR(__xludf.DUMMYFUNCTION("""COMPUTED_VALUE""")," ")</f>
        <v> </v>
      </c>
      <c r="K633" s="59">
        <f>IFERROR(__xludf.DUMMYFUNCTION("""COMPUTED_VALUE"""),10.02)</f>
        <v>10.02</v>
      </c>
      <c r="L633" s="87" t="str">
        <f>IFERROR(__xludf.DUMMYFUNCTION("""COMPUTED_VALUE""")," ")</f>
        <v> </v>
      </c>
      <c r="M633" s="64" t="str">
        <f>IFERROR(__xludf.DUMMYFUNCTION("""COMPUTED_VALUE"""),"U: [1/3 W]; W: [1:1, $11.5]")</f>
        <v>U: [1/3 W]; W: [1:1, $11.5]</v>
      </c>
      <c r="N633" s="65">
        <f>IFERROR(__xludf.DUMMYFUNCTION("""COMPUTED_VALUE"""),44316.0)</f>
        <v>44316</v>
      </c>
      <c r="O633" s="66" t="str">
        <f>IFERROR(__xludf.DUMMYFUNCTION("""COMPUTED_VALUE"""),"")</f>
        <v/>
      </c>
      <c r="P633" s="67">
        <f>IFERROR(__xludf.DUMMYFUNCTION("""COMPUTED_VALUE"""),44264.0)</f>
        <v>44264</v>
      </c>
      <c r="Q633" s="68">
        <f>IFERROR(__xludf.DUMMYFUNCTION("""COMPUTED_VALUE"""),238.177)</f>
        <v>238.177</v>
      </c>
      <c r="R633" s="69" t="str">
        <f>IFERROR(__xludf.DUMMYFUNCTION("""COMPUTED_VALUE"""),"Citigroup, Deutsche Bank Securities")</f>
        <v>Citigroup, Deutsche Bank Securities</v>
      </c>
      <c r="S633" s="64">
        <f>IFERROR(__xludf.DUMMYFUNCTION("""COMPUTED_VALUE"""),44994.0)</f>
        <v>44994</v>
      </c>
      <c r="T633" s="70">
        <f>IFERROR(__xludf.DUMMYFUNCTION("""COMPUTED_VALUE"""),0.043835616438356165)</f>
        <v>0.04383561644</v>
      </c>
      <c r="U633" s="71" t="str">
        <f>IFERROR(__xludf.DUMMYFUNCTION("""COMPUTED_VALUE"""),"https://www.sec.gov/cgi-bin/browse-edgar?CIK=1842729")</f>
        <v>https://www.sec.gov/cgi-bin/browse-edgar?CIK=1842729</v>
      </c>
      <c r="V633" s="72" t="str">
        <f>IFERROR(__xludf.DUMMYFUNCTION("""COMPUTED_VALUE"""),"Venture Capital         Well-known Sponsor  Top Tier UW ")</f>
        <v>Venture Capital         Well-known Sponsor  Top Tier UW </v>
      </c>
      <c r="W633" s="73"/>
      <c r="X633" s="74"/>
      <c r="Y633" s="75"/>
      <c r="Z633" s="60"/>
      <c r="AA633" s="60"/>
      <c r="AB633" s="60"/>
      <c r="AC633" s="60"/>
      <c r="AD633" s="73"/>
      <c r="AE633" s="73"/>
      <c r="AF633" s="76"/>
      <c r="AG633" s="60"/>
    </row>
    <row r="634">
      <c r="A634" s="88" t="str">
        <f>IFERROR(__xludf.DUMMYFUNCTION("""COMPUTED_VALUE"""),"SCAQ")</f>
        <v>SCAQ</v>
      </c>
      <c r="B634" s="55" t="str">
        <f>IFERROR(__xludf.DUMMYFUNCTION("""COMPUTED_VALUE"""),"Stratim Cloud Acquisition Corp.")</f>
        <v>Stratim Cloud Acquisition Corp.</v>
      </c>
      <c r="C634" s="56" t="str">
        <f>IFERROR(__xludf.DUMMYFUNCTION("""COMPUTED_VALUE"""),"Searching (Pre Unit Split)")</f>
        <v>Searching (Pre Unit Split)</v>
      </c>
      <c r="D634" s="77" t="str">
        <f>IFERROR(__xludf.DUMMYFUNCTION("""COMPUTED_VALUE"""),"Software (cloud infrastructure, consumer and enterprise SaaS, security)")</f>
        <v>Software (cloud infrastructure, consumer and enterprise SaaS, security)</v>
      </c>
      <c r="E634" s="58"/>
      <c r="F634" s="59" t="str">
        <f>IFERROR(__xludf.DUMMYFUNCTION("""COMPUTED_VALUE"""),"Sreekanth Ravi (Founder/Exec Chairman, RSquared AI; Co-Founder/Fmr CEO, Tely), Scott Wagner (Fmr CEO, GoDaddy), Doug Bergeron (Co-MP, Hudson Executive Capital)")</f>
        <v>Sreekanth Ravi (Founder/Exec Chairman, RSquared AI; Co-Founder/Fmr CEO, Tely), Scott Wagner (Fmr CEO, GoDaddy), Doug Bergeron (Co-MP, Hudson Executive Capital)</v>
      </c>
      <c r="G634" s="60">
        <f>IFERROR(__xludf.DUMMYFUNCTION("""COMPUTED_VALUE"""),2.5E8)</f>
        <v>250000000</v>
      </c>
      <c r="H634" s="60" t="str">
        <f>IFERROR(__xludf.DUMMYFUNCTION("""COMPUTED_VALUE""")," ")</f>
        <v> </v>
      </c>
      <c r="I634" s="66" t="str">
        <f>IFERROR(__xludf.DUMMYFUNCTION("""COMPUTED_VALUE""")," ")</f>
        <v> </v>
      </c>
      <c r="J634" s="62" t="str">
        <f>IFERROR(__xludf.DUMMYFUNCTION("""COMPUTED_VALUE""")," ")</f>
        <v> </v>
      </c>
      <c r="K634" s="59">
        <f>IFERROR(__xludf.DUMMYFUNCTION("""COMPUTED_VALUE"""),10.02)</f>
        <v>10.02</v>
      </c>
      <c r="L634" s="87" t="str">
        <f>IFERROR(__xludf.DUMMYFUNCTION("""COMPUTED_VALUE""")," ")</f>
        <v> </v>
      </c>
      <c r="M634" s="64" t="str">
        <f>IFERROR(__xludf.DUMMYFUNCTION("""COMPUTED_VALUE"""),"U: [1/3 W]; W: [1:1, $11.5]")</f>
        <v>U: [1/3 W]; W: [1:1, $11.5]</v>
      </c>
      <c r="N634" s="65">
        <f>IFERROR(__xludf.DUMMYFUNCTION("""COMPUTED_VALUE"""),44318.0)</f>
        <v>44318</v>
      </c>
      <c r="O634" s="66" t="str">
        <f>IFERROR(__xludf.DUMMYFUNCTION("""COMPUTED_VALUE"""),"")</f>
        <v/>
      </c>
      <c r="P634" s="67">
        <f>IFERROR(__xludf.DUMMYFUNCTION("""COMPUTED_VALUE"""),44266.0)</f>
        <v>44266</v>
      </c>
      <c r="Q634" s="68">
        <f>IFERROR(__xludf.DUMMYFUNCTION("""COMPUTED_VALUE"""),250.0)</f>
        <v>250</v>
      </c>
      <c r="R634" s="69" t="str">
        <f>IFERROR(__xludf.DUMMYFUNCTION("""COMPUTED_VALUE"""),"BofA Securities, Cowen")</f>
        <v>BofA Securities, Cowen</v>
      </c>
      <c r="S634" s="64">
        <f>IFERROR(__xludf.DUMMYFUNCTION("""COMPUTED_VALUE"""),44996.0)</f>
        <v>44996</v>
      </c>
      <c r="T634" s="70">
        <f>IFERROR(__xludf.DUMMYFUNCTION("""COMPUTED_VALUE"""),0.0410958904109589)</f>
        <v>0.04109589041</v>
      </c>
      <c r="U634" s="71" t="str">
        <f>IFERROR(__xludf.DUMMYFUNCTION("""COMPUTED_VALUE"""),"https://www.sec.gov/cgi-bin/browse-edgar?CIK=1821812")</f>
        <v>https://www.sec.gov/cgi-bin/browse-edgar?CIK=1821812</v>
      </c>
      <c r="V634" s="72" t="str">
        <f>IFERROR(__xludf.DUMMYFUNCTION("""COMPUTED_VALUE"""),"           Top Tier UW ")</f>
        <v>           Top Tier UW </v>
      </c>
      <c r="W634" s="73"/>
      <c r="X634" s="74"/>
      <c r="Y634" s="75"/>
      <c r="Z634" s="60"/>
      <c r="AA634" s="60"/>
      <c r="AB634" s="60"/>
      <c r="AC634" s="60"/>
      <c r="AD634" s="73"/>
      <c r="AE634" s="73"/>
      <c r="AF634" s="76"/>
      <c r="AG634" s="60"/>
    </row>
    <row r="635">
      <c r="A635" s="88" t="str">
        <f>IFERROR(__xludf.DUMMYFUNCTION("""COMPUTED_VALUE"""),"SCIB")</f>
        <v>SCIB</v>
      </c>
      <c r="B635" s="55" t="str">
        <f>IFERROR(__xludf.DUMMYFUNCTION("""COMPUTED_VALUE"""),"Science Strategic Acquisition Corp. Bravo")</f>
        <v>Science Strategic Acquisition Corp. Bravo</v>
      </c>
      <c r="C635" s="56" t="str">
        <f>IFERROR(__xludf.DUMMYFUNCTION("""COMPUTED_VALUE"""),"Pre IPO")</f>
        <v>Pre IPO</v>
      </c>
      <c r="D635" s="77" t="str">
        <f>IFERROR(__xludf.DUMMYFUNCTION("""COMPUTED_VALUE"""),"D2C Brands and Services, Mobile &amp; Social Entertainment")</f>
        <v>D2C Brands and Services, Mobile &amp; Social Entertainment</v>
      </c>
      <c r="E635" s="58"/>
      <c r="F635" s="59" t="str">
        <f>IFERROR(__xludf.DUMMYFUNCTION("""COMPUTED_VALUE"""),"Michael Jones (Former CEO of Myspace), Jeff Bonforte (CEO of Grindr)")</f>
        <v>Michael Jones (Former CEO of Myspace), Jeff Bonforte (CEO of Grindr)</v>
      </c>
      <c r="G635" s="60">
        <f>IFERROR(__xludf.DUMMYFUNCTION("""COMPUTED_VALUE"""),2.0E8)</f>
        <v>200000000</v>
      </c>
      <c r="H635" s="60" t="str">
        <f>IFERROR(__xludf.DUMMYFUNCTION("""COMPUTED_VALUE""")," ")</f>
        <v> </v>
      </c>
      <c r="I635" s="66" t="str">
        <f>IFERROR(__xludf.DUMMYFUNCTION("""COMPUTED_VALUE""")," ")</f>
        <v> </v>
      </c>
      <c r="J635" s="62" t="str">
        <f>IFERROR(__xludf.DUMMYFUNCTION("""COMPUTED_VALUE""")," ")</f>
        <v> </v>
      </c>
      <c r="K635" s="59" t="str">
        <f>IFERROR(__xludf.DUMMYFUNCTION("""COMPUTED_VALUE""")," ")</f>
        <v> </v>
      </c>
      <c r="L635" s="87" t="str">
        <f>IFERROR(__xludf.DUMMYFUNCTION("""COMPUTED_VALUE""")," ")</f>
        <v> </v>
      </c>
      <c r="M635" s="64" t="str">
        <f>IFERROR(__xludf.DUMMYFUNCTION("""COMPUTED_VALUE"""),"U: [1/2 W]; W: [1:1, $11.5]")</f>
        <v>U: [1/2 W]; W: [1:1, $11.5]</v>
      </c>
      <c r="N635" s="65" t="str">
        <f>IFERROR(__xludf.DUMMYFUNCTION("""COMPUTED_VALUE"""),"")</f>
        <v/>
      </c>
      <c r="O635" s="66">
        <f>IFERROR(__xludf.DUMMYFUNCTION("""COMPUTED_VALUE"""),0.0)</f>
        <v>0</v>
      </c>
      <c r="P635" s="67"/>
      <c r="Q635" s="68">
        <f>IFERROR(__xludf.DUMMYFUNCTION("""COMPUTED_VALUE"""),200.0)</f>
        <v>200</v>
      </c>
      <c r="R635" s="69" t="str">
        <f>IFERROR(__xludf.DUMMYFUNCTION("""COMPUTED_VALUE"""),"Credit Suisse")</f>
        <v>Credit Suisse</v>
      </c>
      <c r="S635" s="64">
        <f>IFERROR(__xludf.DUMMYFUNCTION("""COMPUTED_VALUE"""),45086.0)</f>
        <v>45086</v>
      </c>
      <c r="T635" s="70" t="str">
        <f>IFERROR(__xludf.DUMMYFUNCTION("""COMPUTED_VALUE"""),"")</f>
        <v/>
      </c>
      <c r="U635" s="71" t="str">
        <f>IFERROR(__xludf.DUMMYFUNCTION("""COMPUTED_VALUE"""),"https://www.sec.gov/cgi-bin/browse-edgar?CIK=1849582")</f>
        <v>https://www.sec.gov/cgi-bin/browse-edgar?CIK=1849582</v>
      </c>
      <c r="V635" s="72" t="str">
        <f>IFERROR(__xludf.DUMMYFUNCTION("""COMPUTED_VALUE"""),"            ")</f>
        <v>            </v>
      </c>
      <c r="W635" s="73"/>
      <c r="X635" s="74"/>
      <c r="Y635" s="75"/>
      <c r="Z635" s="60"/>
      <c r="AA635" s="60"/>
      <c r="AB635" s="60"/>
      <c r="AC635" s="60"/>
      <c r="AD635" s="73"/>
      <c r="AE635" s="73"/>
      <c r="AF635" s="76"/>
      <c r="AG635" s="60"/>
    </row>
    <row r="636">
      <c r="A636" s="88" t="str">
        <f>IFERROR(__xludf.DUMMYFUNCTION("""COMPUTED_VALUE"""),"SCIC")</f>
        <v>SCIC</v>
      </c>
      <c r="B636" s="55" t="str">
        <f>IFERROR(__xludf.DUMMYFUNCTION("""COMPUTED_VALUE"""),"Science Strategic Acquisition Corp. Charlie")</f>
        <v>Science Strategic Acquisition Corp. Charlie</v>
      </c>
      <c r="C636" s="56" t="str">
        <f>IFERROR(__xludf.DUMMYFUNCTION("""COMPUTED_VALUE"""),"Pre IPO")</f>
        <v>Pre IPO</v>
      </c>
      <c r="D636" s="77" t="str">
        <f>IFERROR(__xludf.DUMMYFUNCTION("""COMPUTED_VALUE"""),"D2C Brands and Services, Mobile &amp; Social Entertainment")</f>
        <v>D2C Brands and Services, Mobile &amp; Social Entertainment</v>
      </c>
      <c r="E636" s="58"/>
      <c r="F636" s="59" t="str">
        <f>IFERROR(__xludf.DUMMYFUNCTION("""COMPUTED_VALUE"""),"Michael Jones (Former CEO of Myspace)")</f>
        <v>Michael Jones (Former CEO of Myspace)</v>
      </c>
      <c r="G636" s="60">
        <f>IFERROR(__xludf.DUMMYFUNCTION("""COMPUTED_VALUE"""),1.25E8)</f>
        <v>125000000</v>
      </c>
      <c r="H636" s="60" t="str">
        <f>IFERROR(__xludf.DUMMYFUNCTION("""COMPUTED_VALUE""")," ")</f>
        <v> </v>
      </c>
      <c r="I636" s="66" t="str">
        <f>IFERROR(__xludf.DUMMYFUNCTION("""COMPUTED_VALUE""")," ")</f>
        <v> </v>
      </c>
      <c r="J636" s="62" t="str">
        <f>IFERROR(__xludf.DUMMYFUNCTION("""COMPUTED_VALUE""")," ")</f>
        <v> </v>
      </c>
      <c r="K636" s="59" t="str">
        <f>IFERROR(__xludf.DUMMYFUNCTION("""COMPUTED_VALUE""")," ")</f>
        <v> </v>
      </c>
      <c r="L636" s="87" t="str">
        <f>IFERROR(__xludf.DUMMYFUNCTION("""COMPUTED_VALUE""")," ")</f>
        <v> </v>
      </c>
      <c r="M636" s="64" t="str">
        <f>IFERROR(__xludf.DUMMYFUNCTION("""COMPUTED_VALUE"""),"U: [1/4 W]; W: [1:1, $11.5]")</f>
        <v>U: [1/4 W]; W: [1:1, $11.5]</v>
      </c>
      <c r="N636" s="65" t="str">
        <f>IFERROR(__xludf.DUMMYFUNCTION("""COMPUTED_VALUE"""),"")</f>
        <v/>
      </c>
      <c r="O636" s="66">
        <f>IFERROR(__xludf.DUMMYFUNCTION("""COMPUTED_VALUE"""),0.0)</f>
        <v>0</v>
      </c>
      <c r="P636" s="67"/>
      <c r="Q636" s="68">
        <f>IFERROR(__xludf.DUMMYFUNCTION("""COMPUTED_VALUE"""),125.0)</f>
        <v>125</v>
      </c>
      <c r="R636" s="69" t="str">
        <f>IFERROR(__xludf.DUMMYFUNCTION("""COMPUTED_VALUE"""),"Credit Suisse")</f>
        <v>Credit Suisse</v>
      </c>
      <c r="S636" s="64">
        <f>IFERROR(__xludf.DUMMYFUNCTION("""COMPUTED_VALUE"""),45086.0)</f>
        <v>45086</v>
      </c>
      <c r="T636" s="70" t="str">
        <f>IFERROR(__xludf.DUMMYFUNCTION("""COMPUTED_VALUE"""),"")</f>
        <v/>
      </c>
      <c r="U636" s="71" t="str">
        <f>IFERROR(__xludf.DUMMYFUNCTION("""COMPUTED_VALUE"""),"https://www.sec.gov/cgi-bin/browse-edgar?CIK=1849584")</f>
        <v>https://www.sec.gov/cgi-bin/browse-edgar?CIK=1849584</v>
      </c>
      <c r="V636" s="72" t="str">
        <f>IFERROR(__xludf.DUMMYFUNCTION("""COMPUTED_VALUE"""),"            ")</f>
        <v>            </v>
      </c>
      <c r="W636" s="73"/>
      <c r="X636" s="74"/>
      <c r="Y636" s="75"/>
      <c r="Z636" s="60"/>
      <c r="AA636" s="60"/>
      <c r="AB636" s="60"/>
      <c r="AC636" s="60"/>
      <c r="AD636" s="73"/>
      <c r="AE636" s="73"/>
      <c r="AF636" s="76"/>
      <c r="AG636" s="60"/>
    </row>
    <row r="637">
      <c r="A637" s="54" t="str">
        <f>IFERROR(__xludf.DUMMYFUNCTION("""COMPUTED_VALUE"""),"SCLE")</f>
        <v>SCLE</v>
      </c>
      <c r="B637" s="55" t="str">
        <f>IFERROR(__xludf.DUMMYFUNCTION("""COMPUTED_VALUE"""),"Broadscale Acquisition Corp.")</f>
        <v>Broadscale Acquisition Corp.</v>
      </c>
      <c r="C637" s="56" t="str">
        <f>IFERROR(__xludf.DUMMYFUNCTION("""COMPUTED_VALUE"""),"Searching")</f>
        <v>Searching</v>
      </c>
      <c r="D637" s="57" t="str">
        <f>IFERROR(__xludf.DUMMYFUNCTION("""COMPUTED_VALUE"""),"ESG, Sustainability, Energy Transition")</f>
        <v>ESG, Sustainability, Energy Transition</v>
      </c>
      <c r="E637" s="58"/>
      <c r="F637" s="59" t="str">
        <f>IFERROR(__xludf.DUMMYFUNCTION("""COMPUTED_VALUE"""),"Andrew Shapiro (Founder/MP, Broadscale; Founder, GreenOrder; Fmr Director, Blink Charging), Betsy Cohen (Founder/Fmr CEO Bancorp; Director, FinTech Acquisition I, II, III), Raymond Lane (Fmr COO, Oracle; MP, GreatPoint Ventures; Director, Beyond Meat and "&amp;"Hewlett Packard Enterprise)")</f>
        <v>Andrew Shapiro (Founder/MP, Broadscale; Founder, GreenOrder; Fmr Director, Blink Charging), Betsy Cohen (Founder/Fmr CEO Bancorp; Director, FinTech Acquisition I, II, III), Raymond Lane (Fmr COO, Oracle; MP, GreatPoint Ventures; Director, Beyond Meat and Hewlett Packard Enterprise)</v>
      </c>
      <c r="G637" s="60">
        <f>IFERROR(__xludf.DUMMYFUNCTION("""COMPUTED_VALUE"""),3.45E8)</f>
        <v>345000000</v>
      </c>
      <c r="H637" s="60">
        <f>IFERROR(__xludf.DUMMYFUNCTION("""COMPUTED_VALUE"""),3.3672E8)</f>
        <v>336720000</v>
      </c>
      <c r="I637" s="66">
        <f>IFERROR(__xludf.DUMMYFUNCTION("""COMPUTED_VALUE"""),9.76)</f>
        <v>9.76</v>
      </c>
      <c r="J637" s="62">
        <f>IFERROR(__xludf.DUMMYFUNCTION("""COMPUTED_VALUE"""),-0.0191)</f>
        <v>-0.0191</v>
      </c>
      <c r="K637" s="59">
        <f>IFERROR(__xludf.DUMMYFUNCTION("""COMPUTED_VALUE"""),10.05)</f>
        <v>10.05</v>
      </c>
      <c r="L637" s="87">
        <f>IFERROR(__xludf.DUMMYFUNCTION("""COMPUTED_VALUE"""),0.98)</f>
        <v>0.98</v>
      </c>
      <c r="M637" s="64" t="str">
        <f>IFERROR(__xludf.DUMMYFUNCTION("""COMPUTED_VALUE"""),"U: [1/4 W]; W: [1:1, $11.5]")</f>
        <v>U: [1/4 W]; W: [1:1, $11.5]</v>
      </c>
      <c r="N637" s="65">
        <f>IFERROR(__xludf.DUMMYFUNCTION("""COMPUTED_VALUE"""),44291.0)</f>
        <v>44291</v>
      </c>
      <c r="O637" s="66">
        <f>IFERROR(__xludf.DUMMYFUNCTION("""COMPUTED_VALUE"""),0.0)</f>
        <v>0</v>
      </c>
      <c r="P637" s="67">
        <f>IFERROR(__xludf.DUMMYFUNCTION("""COMPUTED_VALUE"""),44238.0)</f>
        <v>44238</v>
      </c>
      <c r="Q637" s="68">
        <f>IFERROR(__xludf.DUMMYFUNCTION("""COMPUTED_VALUE"""),345.0)</f>
        <v>345</v>
      </c>
      <c r="R637" s="69" t="str">
        <f>IFERROR(__xludf.DUMMYFUNCTION("""COMPUTED_VALUE"""),"Morgan Stanley")</f>
        <v>Morgan Stanley</v>
      </c>
      <c r="S637" s="64">
        <f>IFERROR(__xludf.DUMMYFUNCTION("""COMPUTED_VALUE"""),44968.0)</f>
        <v>44968</v>
      </c>
      <c r="T637" s="70">
        <f>IFERROR(__xludf.DUMMYFUNCTION("""COMPUTED_VALUE"""),0.07945205479452055)</f>
        <v>0.07945205479</v>
      </c>
      <c r="U637" s="71" t="str">
        <f>IFERROR(__xludf.DUMMYFUNCTION("""COMPUTED_VALUE"""),"https://www.sec.gov/cgi-bin/browse-edgar?CIK=1838697")</f>
        <v>https://www.sec.gov/cgi-bin/browse-edgar?CIK=1838697</v>
      </c>
      <c r="V637" s="72" t="str">
        <f>IFERROR(__xludf.DUMMYFUNCTION("""COMPUTED_VALUE""")," Trading Below $10 (Common)        Well-known Sponsor  Top Tier UW ")</f>
        <v> Trading Below $10 (Common)        Well-known Sponsor  Top Tier UW </v>
      </c>
      <c r="W637" s="73"/>
      <c r="X637" s="74"/>
      <c r="Y637" s="75"/>
      <c r="Z637" s="60"/>
      <c r="AA637" s="60"/>
      <c r="AB637" s="60"/>
      <c r="AC637" s="60"/>
      <c r="AD637" s="73"/>
      <c r="AE637" s="73"/>
      <c r="AF637" s="76"/>
      <c r="AG637" s="60" t="str">
        <f>IFERROR(__xludf.DUMMYFUNCTION("""COMPUTED_VALUE"""),"")</f>
        <v/>
      </c>
    </row>
    <row r="638">
      <c r="A638" s="54" t="str">
        <f>IFERROR(__xludf.DUMMYFUNCTION("""COMPUTED_VALUE"""),"SCOA")</f>
        <v>SCOA</v>
      </c>
      <c r="B638" s="55" t="str">
        <f>IFERROR(__xludf.DUMMYFUNCTION("""COMPUTED_VALUE"""),"ScION Tech Growth I")</f>
        <v>ScION Tech Growth I</v>
      </c>
      <c r="C638" s="56" t="str">
        <f>IFERROR(__xludf.DUMMYFUNCTION("""COMPUTED_VALUE"""),"Searching")</f>
        <v>Searching</v>
      </c>
      <c r="D638" s="57" t="str">
        <f>IFERROR(__xludf.DUMMYFUNCTION("""COMPUTED_VALUE"""),"Fintech")</f>
        <v>Fintech</v>
      </c>
      <c r="E638" s="58"/>
      <c r="F638" s="59" t="str">
        <f>IFERROR(__xludf.DUMMYFUNCTION("""COMPUTED_VALUE"""),"Andrea Pignataro (Founder/CEO, ION Investment Group), Mathew Cestar (Fmr Managing Director, Credit Suisse)")</f>
        <v>Andrea Pignataro (Founder/CEO, ION Investment Group), Mathew Cestar (Fmr Managing Director, Credit Suisse)</v>
      </c>
      <c r="G638" s="60">
        <f>IFERROR(__xludf.DUMMYFUNCTION("""COMPUTED_VALUE"""),5.75009968E8)</f>
        <v>575009968</v>
      </c>
      <c r="H638" s="60">
        <f>IFERROR(__xludf.DUMMYFUNCTION("""COMPUTED_VALUE"""),5.7385E8)</f>
        <v>573850000</v>
      </c>
      <c r="I638" s="66">
        <f>IFERROR(__xludf.DUMMYFUNCTION("""COMPUTED_VALUE"""),9.98)</f>
        <v>9.98</v>
      </c>
      <c r="J638" s="62">
        <f>IFERROR(__xludf.DUMMYFUNCTION("""COMPUTED_VALUE"""),-0.003)</f>
        <v>-0.003</v>
      </c>
      <c r="K638" s="59">
        <f>IFERROR(__xludf.DUMMYFUNCTION("""COMPUTED_VALUE"""),10.26)</f>
        <v>10.26</v>
      </c>
      <c r="L638" s="87">
        <f>IFERROR(__xludf.DUMMYFUNCTION("""COMPUTED_VALUE"""),1.01)</f>
        <v>1.01</v>
      </c>
      <c r="M638" s="64" t="str">
        <f>IFERROR(__xludf.DUMMYFUNCTION("""COMPUTED_VALUE"""),"U: [1/3 W]; W: [1:1, $11.5]")</f>
        <v>U: [1/3 W]; W: [1:1, $11.5]</v>
      </c>
      <c r="N638" s="65" t="str">
        <f>IFERROR(__xludf.DUMMYFUNCTION("""COMPUTED_VALUE"""),"")</f>
        <v/>
      </c>
      <c r="O638" s="66">
        <f>IFERROR(__xludf.DUMMYFUNCTION("""COMPUTED_VALUE"""),0.0)</f>
        <v>0</v>
      </c>
      <c r="P638" s="67">
        <f>IFERROR(__xludf.DUMMYFUNCTION("""COMPUTED_VALUE"""),44182.0)</f>
        <v>44182</v>
      </c>
      <c r="Q638" s="68">
        <f>IFERROR(__xludf.DUMMYFUNCTION("""COMPUTED_VALUE"""),575.0)</f>
        <v>575</v>
      </c>
      <c r="R638" s="69" t="str">
        <f>IFERROR(__xludf.DUMMYFUNCTION("""COMPUTED_VALUE"""),"UBS, Citigroup")</f>
        <v>UBS, Citigroup</v>
      </c>
      <c r="S638" s="64">
        <f>IFERROR(__xludf.DUMMYFUNCTION("""COMPUTED_VALUE"""),44912.0)</f>
        <v>44912</v>
      </c>
      <c r="T638" s="70">
        <f>IFERROR(__xludf.DUMMYFUNCTION("""COMPUTED_VALUE"""),0.15616438356164383)</f>
        <v>0.1561643836</v>
      </c>
      <c r="U638" s="71" t="str">
        <f>IFERROR(__xludf.DUMMYFUNCTION("""COMPUTED_VALUE"""),"https://www.sec.gov/cgi-bin/browse-edgar?CIK=1828985")</f>
        <v>https://www.sec.gov/cgi-bin/browse-edgar?CIK=1828985</v>
      </c>
      <c r="V638" s="72" t="str">
        <f>IFERROR(__xludf.DUMMYFUNCTION("""COMPUTED_VALUE""")," Trading Below $10 (Common)  $500M+ Trust       Top Tier UW ")</f>
        <v> Trading Below $10 (Common)  $500M+ Trust       Top Tier UW </v>
      </c>
      <c r="W638" s="73"/>
      <c r="X638" s="74"/>
      <c r="Y638" s="75"/>
      <c r="Z638" s="60"/>
      <c r="AA638" s="60"/>
      <c r="AB638" s="60"/>
      <c r="AC638" s="60"/>
      <c r="AD638" s="73"/>
      <c r="AE638" s="73"/>
      <c r="AF638" s="76"/>
      <c r="AG638" s="60" t="str">
        <f>IFERROR(__xludf.DUMMYFUNCTION("""COMPUTED_VALUE"""),"")</f>
        <v/>
      </c>
    </row>
    <row r="639">
      <c r="A639" s="54" t="str">
        <f>IFERROR(__xludf.DUMMYFUNCTION("""COMPUTED_VALUE"""),"SCOB")</f>
        <v>SCOB</v>
      </c>
      <c r="B639" s="55" t="str">
        <f>IFERROR(__xludf.DUMMYFUNCTION("""COMPUTED_VALUE"""),"ScION Tech Growth II")</f>
        <v>ScION Tech Growth II</v>
      </c>
      <c r="C639" s="56" t="str">
        <f>IFERROR(__xludf.DUMMYFUNCTION("""COMPUTED_VALUE"""),"Searching")</f>
        <v>Searching</v>
      </c>
      <c r="D639" s="57" t="str">
        <f>IFERROR(__xludf.DUMMYFUNCTION("""COMPUTED_VALUE"""),"Fintech")</f>
        <v>Fintech</v>
      </c>
      <c r="E639" s="58"/>
      <c r="F639" s="59" t="str">
        <f>IFERROR(__xludf.DUMMYFUNCTION("""COMPUTED_VALUE"""),"Andrea Pignataro (Founder/CEO, ION Investment Group), Mathew Cestar (Fmr Managing Director, Credit Suisse)")</f>
        <v>Andrea Pignataro (Founder/CEO, ION Investment Group), Mathew Cestar (Fmr Managing Director, Credit Suisse)</v>
      </c>
      <c r="G639" s="60">
        <f>IFERROR(__xludf.DUMMYFUNCTION("""COMPUTED_VALUE"""),3.45E8)</f>
        <v>345000000</v>
      </c>
      <c r="H639" s="60">
        <f>IFERROR(__xludf.DUMMYFUNCTION("""COMPUTED_VALUE"""),3.4431E8)</f>
        <v>344310000</v>
      </c>
      <c r="I639" s="66">
        <f>IFERROR(__xludf.DUMMYFUNCTION("""COMPUTED_VALUE"""),9.98)</f>
        <v>9.98</v>
      </c>
      <c r="J639" s="62">
        <f>IFERROR(__xludf.DUMMYFUNCTION("""COMPUTED_VALUE"""),0.00808)</f>
        <v>0.00808</v>
      </c>
      <c r="K639" s="59">
        <f>IFERROR(__xludf.DUMMYFUNCTION("""COMPUTED_VALUE"""),10.15)</f>
        <v>10.15</v>
      </c>
      <c r="L639" s="87">
        <f>IFERROR(__xludf.DUMMYFUNCTION("""COMPUTED_VALUE"""),0.93)</f>
        <v>0.93</v>
      </c>
      <c r="M639" s="64" t="str">
        <f>IFERROR(__xludf.DUMMYFUNCTION("""COMPUTED_VALUE"""),"U: [1/3 W]; W: [1:1, $11.5]")</f>
        <v>U: [1/3 W]; W: [1:1, $11.5]</v>
      </c>
      <c r="N639" s="65">
        <f>IFERROR(__xludf.DUMMYFUNCTION("""COMPUTED_VALUE"""),44291.0)</f>
        <v>44291</v>
      </c>
      <c r="O639" s="66">
        <f>IFERROR(__xludf.DUMMYFUNCTION("""COMPUTED_VALUE"""),0.0)</f>
        <v>0</v>
      </c>
      <c r="P639" s="67">
        <f>IFERROR(__xludf.DUMMYFUNCTION("""COMPUTED_VALUE"""),44236.0)</f>
        <v>44236</v>
      </c>
      <c r="Q639" s="68">
        <f>IFERROR(__xludf.DUMMYFUNCTION("""COMPUTED_VALUE"""),345.0)</f>
        <v>345</v>
      </c>
      <c r="R639" s="69" t="str">
        <f>IFERROR(__xludf.DUMMYFUNCTION("""COMPUTED_VALUE"""),"Citigroup")</f>
        <v>Citigroup</v>
      </c>
      <c r="S639" s="64">
        <f>IFERROR(__xludf.DUMMYFUNCTION("""COMPUTED_VALUE"""),44966.0)</f>
        <v>44966</v>
      </c>
      <c r="T639" s="70">
        <f>IFERROR(__xludf.DUMMYFUNCTION("""COMPUTED_VALUE"""),0.0821917808219178)</f>
        <v>0.08219178082</v>
      </c>
      <c r="U639" s="71" t="str">
        <f>IFERROR(__xludf.DUMMYFUNCTION("""COMPUTED_VALUE"""),"https://www.sec.gov/cgi-bin/browse-edgar?CIK=1838431")</f>
        <v>https://www.sec.gov/cgi-bin/browse-edgar?CIK=1838431</v>
      </c>
      <c r="V639" s="72" t="str">
        <f>IFERROR(__xludf.DUMMYFUNCTION("""COMPUTED_VALUE""")," Trading Below $10 (Common)          Top Tier UW ")</f>
        <v> Trading Below $10 (Common)          Top Tier UW </v>
      </c>
      <c r="W639" s="73"/>
      <c r="X639" s="74"/>
      <c r="Y639" s="75"/>
      <c r="Z639" s="60"/>
      <c r="AA639" s="60"/>
      <c r="AB639" s="60"/>
      <c r="AC639" s="60"/>
      <c r="AD639" s="73"/>
      <c r="AE639" s="73"/>
      <c r="AF639" s="76"/>
      <c r="AG639" s="60" t="str">
        <f>IFERROR(__xludf.DUMMYFUNCTION("""COMPUTED_VALUE"""),"")</f>
        <v/>
      </c>
    </row>
    <row r="640">
      <c r="A640" s="54" t="str">
        <f>IFERROR(__xludf.DUMMYFUNCTION("""COMPUTED_VALUE"""),"SCPE")</f>
        <v>SCPE</v>
      </c>
      <c r="B640" s="55" t="str">
        <f>IFERROR(__xludf.DUMMYFUNCTION("""COMPUTED_VALUE"""),"SC Health Corp")</f>
        <v>SC Health Corp</v>
      </c>
      <c r="C640" s="56" t="str">
        <f>IFERROR(__xludf.DUMMYFUNCTION("""COMPUTED_VALUE"""),"Definitive Agreement")</f>
        <v>Definitive Agreement</v>
      </c>
      <c r="D640" s="57" t="str">
        <f>IFERROR(__xludf.DUMMYFUNCTION("""COMPUTED_VALUE"""),"Healthcare, Asia")</f>
        <v>Healthcare, Asia</v>
      </c>
      <c r="E640" s="58" t="str">
        <f>IFERROR(__xludf.DUMMYFUNCTION("""COMPUTED_VALUE"""),"Rockley Photonics [DA: 03/19/21]")</f>
        <v>Rockley Photonics [DA: 03/19/21]</v>
      </c>
      <c r="F640" s="59"/>
      <c r="G640" s="60">
        <f>IFERROR(__xludf.DUMMYFUNCTION("""COMPUTED_VALUE"""),1.74538543E8)</f>
        <v>174538543</v>
      </c>
      <c r="H640" s="60">
        <f>IFERROR(__xludf.DUMMYFUNCTION("""COMPUTED_VALUE"""),1.733625E8)</f>
        <v>173362500</v>
      </c>
      <c r="I640" s="66">
        <f>IFERROR(__xludf.DUMMYFUNCTION("""COMPUTED_VALUE"""),10.05)</f>
        <v>10.05</v>
      </c>
      <c r="J640" s="62">
        <f>IFERROR(__xludf.DUMMYFUNCTION("""COMPUTED_VALUE"""),-0.00495)</f>
        <v>-0.00495</v>
      </c>
      <c r="K640" s="59">
        <f>IFERROR(__xludf.DUMMYFUNCTION("""COMPUTED_VALUE"""),10.5)</f>
        <v>10.5</v>
      </c>
      <c r="L640" s="87">
        <f>IFERROR(__xludf.DUMMYFUNCTION("""COMPUTED_VALUE"""),1.38)</f>
        <v>1.38</v>
      </c>
      <c r="M640" s="64" t="str">
        <f>IFERROR(__xludf.DUMMYFUNCTION("""COMPUTED_VALUE"""),"U: [1/2 W]; W: [1:1, $11.5]")</f>
        <v>U: [1/2 W]; W: [1:1, $11.5]</v>
      </c>
      <c r="N640" s="65" t="str">
        <f>IFERROR(__xludf.DUMMYFUNCTION("""COMPUTED_VALUE"""),"")</f>
        <v/>
      </c>
      <c r="O640" s="66">
        <f>IFERROR(__xludf.DUMMYFUNCTION("""COMPUTED_VALUE"""),0.0)</f>
        <v>0</v>
      </c>
      <c r="P640" s="67">
        <f>IFERROR(__xludf.DUMMYFUNCTION("""COMPUTED_VALUE"""),43657.0)</f>
        <v>43657</v>
      </c>
      <c r="Q640" s="68">
        <f>IFERROR(__xludf.DUMMYFUNCTION("""COMPUTED_VALUE"""),172.5)</f>
        <v>172.5</v>
      </c>
      <c r="R640" s="69" t="str">
        <f>IFERROR(__xludf.DUMMYFUNCTION("""COMPUTED_VALUE"""),"Credit Suisse, I-Bankers")</f>
        <v>Credit Suisse, I-Bankers</v>
      </c>
      <c r="S640" s="64">
        <f>IFERROR(__xludf.DUMMYFUNCTION("""COMPUTED_VALUE"""),44302.0)</f>
        <v>44302</v>
      </c>
      <c r="T640" s="70">
        <f>IFERROR(__xludf.DUMMYFUNCTION("""COMPUTED_VALUE"""),0.9906976744186047)</f>
        <v>0.9906976744</v>
      </c>
      <c r="U640" s="71" t="str">
        <f>IFERROR(__xludf.DUMMYFUNCTION("""COMPUTED_VALUE"""),"https://www.sec.gov/cgi-bin/browse-edgar?CIK=1764301")</f>
        <v>https://www.sec.gov/cgi-bin/browse-edgar?CIK=1764301</v>
      </c>
      <c r="V640" s="72" t="str">
        <f>IFERROR(__xludf.DUMMYFUNCTION("""COMPUTED_VALUE"""),"      Deadline Approaching      ")</f>
        <v>      Deadline Approaching      </v>
      </c>
      <c r="W640" s="73">
        <f>IFERROR(__xludf.DUMMYFUNCTION("""COMPUTED_VALUE"""),44274.0)</f>
        <v>44274</v>
      </c>
      <c r="X640" s="79">
        <f>IFERROR(__xludf.DUMMYFUNCTION("""COMPUTED_VALUE"""),20.566666666666666)</f>
        <v>20.56666667</v>
      </c>
      <c r="Y640" s="80" t="str">
        <f>IFERROR(__xludf.DUMMYFUNCTION("""COMPUTED_VALUE"""),"https://www.businesswire.com/news/home/20210319005191/en/Rockley-Photonics-Accelerates-Plan-to-Revolutionize-Consumer-Health-and-Wellness-Monitoring-by-Going-Public-via-SC-Health-Corp")</f>
        <v>https://www.businesswire.com/news/home/20210319005191/en/Rockley-Photonics-Accelerates-Plan-to-Revolutionize-Consumer-Health-and-Wellness-Monitoring-by-Going-Public-via-SC-Health-Corp</v>
      </c>
      <c r="Z640" s="81" t="str">
        <f>IFERROR(__xludf.DUMMYFUNCTION("""COMPUTED_VALUE"""),"https://www.sec.gov/Archives/edgar/data/1764301/000119312521086719/d156616dex993.htm")</f>
        <v>https://www.sec.gov/Archives/edgar/data/1764301/000119312521086719/d156616dex993.htm</v>
      </c>
      <c r="AA640" s="60">
        <f>IFERROR(__xludf.DUMMYFUNCTION("""COMPUTED_VALUE"""),1.5E8)</f>
        <v>150000000</v>
      </c>
      <c r="AB640" s="60">
        <f>IFERROR(__xludf.DUMMYFUNCTION("""COMPUTED_VALUE"""),1.526E9)</f>
        <v>1526000000</v>
      </c>
      <c r="AC640" s="60">
        <f>IFERROR(__xludf.DUMMYFUNCTION("""COMPUTED_VALUE"""),1.215E9)</f>
        <v>1215000000</v>
      </c>
      <c r="AD640" s="73"/>
      <c r="AE640" s="73"/>
      <c r="AF640" s="76">
        <f>IFERROR(__xludf.DUMMYFUNCTION("""COMPUTED_VALUE"""),1.526E8)</f>
        <v>152600000</v>
      </c>
      <c r="AG640" s="60">
        <f>IFERROR(__xludf.DUMMYFUNCTION("""COMPUTED_VALUE"""),1.53363E9)</f>
        <v>1533630000</v>
      </c>
    </row>
    <row r="641">
      <c r="A641" s="88" t="str">
        <f>IFERROR(__xludf.DUMMYFUNCTION("""COMPUTED_VALUE"""),"SCVX")</f>
        <v>SCVX</v>
      </c>
      <c r="B641" s="55" t="str">
        <f>IFERROR(__xludf.DUMMYFUNCTION("""COMPUTED_VALUE"""),"SCVX Corp")</f>
        <v>SCVX Corp</v>
      </c>
      <c r="C641" s="56" t="str">
        <f>IFERROR(__xludf.DUMMYFUNCTION("""COMPUTED_VALUE"""),"Searching")</f>
        <v>Searching</v>
      </c>
      <c r="D641" s="77" t="str">
        <f>IFERROR(__xludf.DUMMYFUNCTION("""COMPUTED_VALUE"""),"Cybersecurity")</f>
        <v>Cybersecurity</v>
      </c>
      <c r="E641" s="58"/>
      <c r="F641" s="59" t="str">
        <f>IFERROR(__xludf.DUMMYFUNCTION("""COMPUTED_VALUE"""),"Former Senator Dan Coats (Former Director of National Intelligence), Jeff Lunglhofer
(Chief Information Security Officer at BNY Mellon), Sounil Yu (Former Chief Security Scientist at Bank of America)")</f>
        <v>Former Senator Dan Coats (Former Director of National Intelligence), Jeff Lunglhofer
(Chief Information Security Officer at BNY Mellon), Sounil Yu (Former Chief Security Scientist at Bank of America)</v>
      </c>
      <c r="G641" s="60">
        <f>IFERROR(__xludf.DUMMYFUNCTION("""COMPUTED_VALUE"""),2.30548847E8)</f>
        <v>230548847</v>
      </c>
      <c r="H641" s="60">
        <f>IFERROR(__xludf.DUMMYFUNCTION("""COMPUTED_VALUE"""),2.2977E8)</f>
        <v>229770000</v>
      </c>
      <c r="I641" s="66">
        <f>IFERROR(__xludf.DUMMYFUNCTION("""COMPUTED_VALUE"""),9.99)</f>
        <v>9.99</v>
      </c>
      <c r="J641" s="62">
        <f>IFERROR(__xludf.DUMMYFUNCTION("""COMPUTED_VALUE"""),-0.00498)</f>
        <v>-0.00498</v>
      </c>
      <c r="K641" s="59">
        <f>IFERROR(__xludf.DUMMYFUNCTION("""COMPUTED_VALUE"""),10.4)</f>
        <v>10.4</v>
      </c>
      <c r="L641" s="87">
        <f>IFERROR(__xludf.DUMMYFUNCTION("""COMPUTED_VALUE"""),1.065)</f>
        <v>1.065</v>
      </c>
      <c r="M641" s="64" t="str">
        <f>IFERROR(__xludf.DUMMYFUNCTION("""COMPUTED_VALUE"""),"U: [1/2 W]; W: [1:1, $11.5]")</f>
        <v>U: [1/2 W]; W: [1:1, $11.5]</v>
      </c>
      <c r="N641" s="65" t="str">
        <f>IFERROR(__xludf.DUMMYFUNCTION("""COMPUTED_VALUE"""),"")</f>
        <v/>
      </c>
      <c r="O641" s="66">
        <f>IFERROR(__xludf.DUMMYFUNCTION("""COMPUTED_VALUE"""),0.0)</f>
        <v>0</v>
      </c>
      <c r="P641" s="67">
        <f>IFERROR(__xludf.DUMMYFUNCTION("""COMPUTED_VALUE"""),43854.0)</f>
        <v>43854</v>
      </c>
      <c r="Q641" s="68">
        <f>IFERROR(__xludf.DUMMYFUNCTION("""COMPUTED_VALUE"""),230.0)</f>
        <v>230</v>
      </c>
      <c r="R641" s="69" t="str">
        <f>IFERROR(__xludf.DUMMYFUNCTION("""COMPUTED_VALUE"""),"Credit Suisse")</f>
        <v>Credit Suisse</v>
      </c>
      <c r="S641" s="64">
        <f>IFERROR(__xludf.DUMMYFUNCTION("""COMPUTED_VALUE"""),44584.0)</f>
        <v>44584</v>
      </c>
      <c r="T641" s="70">
        <f>IFERROR(__xludf.DUMMYFUNCTION("""COMPUTED_VALUE"""),0.6054794520547945)</f>
        <v>0.6054794521</v>
      </c>
      <c r="U641" s="71" t="str">
        <f>IFERROR(__xludf.DUMMYFUNCTION("""COMPUTED_VALUE"""),"https://www.sec.gov/cgi-bin/browse-edgar?CIK=1794717")</f>
        <v>https://www.sec.gov/cgi-bin/browse-edgar?CIK=1794717</v>
      </c>
      <c r="V641" s="72" t="str">
        <f>IFERROR(__xludf.DUMMYFUNCTION("""COMPUTED_VALUE""")," Trading Below $10 (Common)           ")</f>
        <v> Trading Below $10 (Common)           </v>
      </c>
      <c r="W641" s="73"/>
      <c r="X641" s="74"/>
      <c r="Y641" s="75"/>
      <c r="Z641" s="60"/>
      <c r="AA641" s="60"/>
      <c r="AB641" s="60"/>
      <c r="AC641" s="60"/>
      <c r="AD641" s="73"/>
      <c r="AE641" s="73"/>
      <c r="AF641" s="76"/>
      <c r="AG641" s="60" t="str">
        <f>IFERROR(__xludf.DUMMYFUNCTION("""COMPUTED_VALUE"""),"")</f>
        <v/>
      </c>
    </row>
    <row r="642">
      <c r="A642" s="54" t="str">
        <f>IFERROR(__xludf.DUMMYFUNCTION("""COMPUTED_VALUE"""),"SDAC")</f>
        <v>SDAC</v>
      </c>
      <c r="B642" s="55" t="str">
        <f>IFERROR(__xludf.DUMMYFUNCTION("""COMPUTED_VALUE"""),"Sustainable Development Acquisition I Corp.")</f>
        <v>Sustainable Development Acquisition I Corp.</v>
      </c>
      <c r="C642" s="56" t="str">
        <f>IFERROR(__xludf.DUMMYFUNCTION("""COMPUTED_VALUE"""),"Searching")</f>
        <v>Searching</v>
      </c>
      <c r="D642" s="57" t="str">
        <f>IFERROR(__xludf.DUMMYFUNCTION("""COMPUTED_VALUE"""),"Sustainability, Certified B Corp, UN SDG-focused ")</f>
        <v>Sustainability, Certified B Corp, UN SDG-focused </v>
      </c>
      <c r="E642" s="58"/>
      <c r="F642" s="59"/>
      <c r="G642" s="60">
        <f>IFERROR(__xludf.DUMMYFUNCTION("""COMPUTED_VALUE"""),3.1625E8)</f>
        <v>316250000</v>
      </c>
      <c r="H642" s="60">
        <f>IFERROR(__xludf.DUMMYFUNCTION("""COMPUTED_VALUE"""),3.1150625E9)</f>
        <v>3115062500</v>
      </c>
      <c r="I642" s="66">
        <f>IFERROR(__xludf.DUMMYFUNCTION("""COMPUTED_VALUE"""),9.85)</f>
        <v>9.85</v>
      </c>
      <c r="J642" s="62">
        <f>IFERROR(__xludf.DUMMYFUNCTION("""COMPUTED_VALUE"""),-0.015)</f>
        <v>-0.015</v>
      </c>
      <c r="K642" s="59">
        <f>IFERROR(__xludf.DUMMYFUNCTION("""COMPUTED_VALUE"""),10.2)</f>
        <v>10.2</v>
      </c>
      <c r="L642" s="87">
        <f>IFERROR(__xludf.DUMMYFUNCTION("""COMPUTED_VALUE"""),0.82)</f>
        <v>0.82</v>
      </c>
      <c r="M642" s="64" t="str">
        <f>IFERROR(__xludf.DUMMYFUNCTION("""COMPUTED_VALUE"""),"U: [1/2 W]; W: [1:1, $11.5]")</f>
        <v>U: [1/2 W]; W: [1:1, $11.5]</v>
      </c>
      <c r="N642" s="65">
        <f>IFERROR(__xludf.DUMMYFUNCTION("""COMPUTED_VALUE"""),44284.0)</f>
        <v>44284</v>
      </c>
      <c r="O642" s="66">
        <f>IFERROR(__xludf.DUMMYFUNCTION("""COMPUTED_VALUE"""),0.0)</f>
        <v>0</v>
      </c>
      <c r="P642" s="67">
        <f>IFERROR(__xludf.DUMMYFUNCTION("""COMPUTED_VALUE"""),44231.0)</f>
        <v>44231</v>
      </c>
      <c r="Q642" s="68">
        <f>IFERROR(__xludf.DUMMYFUNCTION("""COMPUTED_VALUE"""),316.25)</f>
        <v>316.25</v>
      </c>
      <c r="R642" s="69" t="str">
        <f>IFERROR(__xludf.DUMMYFUNCTION("""COMPUTED_VALUE"""),"Barclays, BofA Securities")</f>
        <v>Barclays, BofA Securities</v>
      </c>
      <c r="S642" s="64">
        <f>IFERROR(__xludf.DUMMYFUNCTION("""COMPUTED_VALUE"""),44961.0)</f>
        <v>44961</v>
      </c>
      <c r="T642" s="70">
        <f>IFERROR(__xludf.DUMMYFUNCTION("""COMPUTED_VALUE"""),0.08904109589041095)</f>
        <v>0.08904109589</v>
      </c>
      <c r="U642" s="71" t="str">
        <f>IFERROR(__xludf.DUMMYFUNCTION("""COMPUTED_VALUE"""),"https://www.sec.gov/cgi-bin/browse-edgar?CIK=1837248")</f>
        <v>https://www.sec.gov/cgi-bin/browse-edgar?CIK=1837248</v>
      </c>
      <c r="V642" s="72" t="str">
        <f>IFERROR(__xludf.DUMMYFUNCTION("""COMPUTED_VALUE""")," Trading Below $10 (Common)          Top Tier UW ")</f>
        <v> Trading Below $10 (Common)          Top Tier UW </v>
      </c>
      <c r="W642" s="73"/>
      <c r="X642" s="74"/>
      <c r="Y642" s="75"/>
      <c r="Z642" s="60"/>
      <c r="AA642" s="60"/>
      <c r="AB642" s="60"/>
      <c r="AC642" s="60"/>
      <c r="AD642" s="73"/>
      <c r="AE642" s="73"/>
      <c r="AF642" s="76"/>
      <c r="AG642" s="60" t="str">
        <f>IFERROR(__xludf.DUMMYFUNCTION("""COMPUTED_VALUE"""),"")</f>
        <v/>
      </c>
    </row>
    <row r="643">
      <c r="A643" s="88" t="str">
        <f>IFERROR(__xludf.DUMMYFUNCTION("""COMPUTED_VALUE"""),"SDHI")</f>
        <v>SDHI</v>
      </c>
      <c r="B643" s="55" t="str">
        <f>IFERROR(__xludf.DUMMYFUNCTION("""COMPUTED_VALUE"""),"Siddhi Acquisition Corp.")</f>
        <v>Siddhi Acquisition Corp.</v>
      </c>
      <c r="C643" s="56" t="str">
        <f>IFERROR(__xludf.DUMMYFUNCTION("""COMPUTED_VALUE"""),"Pre IPO")</f>
        <v>Pre IPO</v>
      </c>
      <c r="D643" s="57" t="str">
        <f>IFERROR(__xludf.DUMMYFUNCTION("""COMPUTED_VALUE"""),"Food and Beverage")</f>
        <v>Food and Beverage</v>
      </c>
      <c r="E643" s="58"/>
      <c r="F643" s="59" t="str">
        <f>IFERROR(__xludf.DUMMYFUNCTION("""COMPUTED_VALUE"""),"Lauri Kotcher (Former CMO of Godiva Chocolatier), James Monsees (Co-founder of JUUL Labs), Susan Kilsby (Director of Unilever &amp; Diageo)")</f>
        <v>Lauri Kotcher (Former CMO of Godiva Chocolatier), James Monsees (Co-founder of JUUL Labs), Susan Kilsby (Director of Unilever &amp; Diageo)</v>
      </c>
      <c r="G643" s="60">
        <f>IFERROR(__xludf.DUMMYFUNCTION("""COMPUTED_VALUE"""),2.0E8)</f>
        <v>200000000</v>
      </c>
      <c r="H643" s="60" t="str">
        <f>IFERROR(__xludf.DUMMYFUNCTION("""COMPUTED_VALUE""")," ")</f>
        <v> </v>
      </c>
      <c r="I643" s="66" t="str">
        <f>IFERROR(__xludf.DUMMYFUNCTION("""COMPUTED_VALUE""")," ")</f>
        <v> </v>
      </c>
      <c r="J643" s="62" t="str">
        <f>IFERROR(__xludf.DUMMYFUNCTION("""COMPUTED_VALUE""")," ")</f>
        <v> </v>
      </c>
      <c r="K643" s="59" t="str">
        <f>IFERROR(__xludf.DUMMYFUNCTION("""COMPUTED_VALUE""")," ")</f>
        <v> </v>
      </c>
      <c r="L643" s="87" t="str">
        <f>IFERROR(__xludf.DUMMYFUNCTION("""COMPUTED_VALUE""")," ")</f>
        <v> </v>
      </c>
      <c r="M643" s="64" t="str">
        <f>IFERROR(__xludf.DUMMYFUNCTION("""COMPUTED_VALUE"""),"U: [1/3 W]; W: [1:1, $11.5]")</f>
        <v>U: [1/3 W]; W: [1:1, $11.5]</v>
      </c>
      <c r="N643" s="65" t="str">
        <f>IFERROR(__xludf.DUMMYFUNCTION("""COMPUTED_VALUE"""),"")</f>
        <v/>
      </c>
      <c r="O643" s="66">
        <f>IFERROR(__xludf.DUMMYFUNCTION("""COMPUTED_VALUE"""),0.0)</f>
        <v>0</v>
      </c>
      <c r="P643" s="67"/>
      <c r="Q643" s="68">
        <f>IFERROR(__xludf.DUMMYFUNCTION("""COMPUTED_VALUE"""),200.0)</f>
        <v>200</v>
      </c>
      <c r="R643" s="69" t="str">
        <f>IFERROR(__xludf.DUMMYFUNCTION("""COMPUTED_VALUE"""),"Credit Suisse")</f>
        <v>Credit Suisse</v>
      </c>
      <c r="S643" s="64">
        <f>IFERROR(__xludf.DUMMYFUNCTION("""COMPUTED_VALUE"""),45086.0)</f>
        <v>45086</v>
      </c>
      <c r="T643" s="70" t="str">
        <f>IFERROR(__xludf.DUMMYFUNCTION("""COMPUTED_VALUE"""),"")</f>
        <v/>
      </c>
      <c r="U643" s="71" t="str">
        <f>IFERROR(__xludf.DUMMYFUNCTION("""COMPUTED_VALUE"""),"https://www.sec.gov/cgi-bin/browse-edgar?CIK=1831762")</f>
        <v>https://www.sec.gov/cgi-bin/browse-edgar?CIK=1831762</v>
      </c>
      <c r="V643" s="72" t="str">
        <f>IFERROR(__xludf.DUMMYFUNCTION("""COMPUTED_VALUE"""),"            ")</f>
        <v>            </v>
      </c>
      <c r="W643" s="73"/>
      <c r="X643" s="74"/>
      <c r="Y643" s="75"/>
      <c r="Z643" s="60"/>
      <c r="AA643" s="60"/>
      <c r="AB643" s="60"/>
      <c r="AC643" s="60"/>
      <c r="AD643" s="73"/>
      <c r="AE643" s="73"/>
      <c r="AF643" s="76"/>
      <c r="AG643" s="60"/>
    </row>
    <row r="644">
      <c r="A644" s="54" t="str">
        <f>IFERROR(__xludf.DUMMYFUNCTION("""COMPUTED_VALUE"""),"SEAH")</f>
        <v>SEAH</v>
      </c>
      <c r="B644" s="55" t="str">
        <f>IFERROR(__xludf.DUMMYFUNCTION("""COMPUTED_VALUE"""),"Sports Entertainment Acquisition Corp.")</f>
        <v>Sports Entertainment Acquisition Corp.</v>
      </c>
      <c r="C644" s="56" t="str">
        <f>IFERROR(__xludf.DUMMYFUNCTION("""COMPUTED_VALUE"""),"Searching")</f>
        <v>Searching</v>
      </c>
      <c r="D644" s="57" t="str">
        <f>IFERROR(__xludf.DUMMYFUNCTION("""COMPUTED_VALUE"""),"Sports (incl. Tech &amp; Services), Entertainment (incl. Tech &amp; Services)")</f>
        <v>Sports (incl. Tech &amp; Services), Entertainment (incl. Tech &amp; Services)</v>
      </c>
      <c r="E644" s="58"/>
      <c r="F644" s="59" t="str">
        <f>IFERROR(__xludf.DUMMYFUNCTION("""COMPUTED_VALUE"""),"Eric Grubman (Former Exec VP Business Ops, NFL), John Collins (Fmr COO, NHL; Fmr CEO, Cleveland Browns)")</f>
        <v>Eric Grubman (Former Exec VP Business Ops, NFL), John Collins (Fmr COO, NHL; Fmr CEO, Cleveland Browns)</v>
      </c>
      <c r="G644" s="60">
        <f>IFERROR(__xludf.DUMMYFUNCTION("""COMPUTED_VALUE"""),4.50067699E8)</f>
        <v>450067699</v>
      </c>
      <c r="H644" s="60">
        <f>IFERROR(__xludf.DUMMYFUNCTION("""COMPUTED_VALUE"""),4.473E8)</f>
        <v>447300000</v>
      </c>
      <c r="I644" s="66">
        <f>IFERROR(__xludf.DUMMYFUNCTION("""COMPUTED_VALUE"""),9.94)</f>
        <v>9.94</v>
      </c>
      <c r="J644" s="62">
        <f>IFERROR(__xludf.DUMMYFUNCTION("""COMPUTED_VALUE"""),0.00303)</f>
        <v>0.00303</v>
      </c>
      <c r="K644" s="59">
        <f>IFERROR(__xludf.DUMMYFUNCTION("""COMPUTED_VALUE"""),10.62)</f>
        <v>10.62</v>
      </c>
      <c r="L644" s="87">
        <f>IFERROR(__xludf.DUMMYFUNCTION("""COMPUTED_VALUE"""),1.25)</f>
        <v>1.25</v>
      </c>
      <c r="M644" s="64" t="str">
        <f>IFERROR(__xludf.DUMMYFUNCTION("""COMPUTED_VALUE"""),"U: [1/2 W]; W: [1:1, $11.5]")</f>
        <v>U: [1/2 W]; W: [1:1, $11.5]</v>
      </c>
      <c r="N644" s="65" t="str">
        <f>IFERROR(__xludf.DUMMYFUNCTION("""COMPUTED_VALUE"""),"")</f>
        <v/>
      </c>
      <c r="O644" s="66">
        <f>IFERROR(__xludf.DUMMYFUNCTION("""COMPUTED_VALUE"""),0.0)</f>
        <v>0</v>
      </c>
      <c r="P644" s="67">
        <f>IFERROR(__xludf.DUMMYFUNCTION("""COMPUTED_VALUE"""),44106.0)</f>
        <v>44106</v>
      </c>
      <c r="Q644" s="68">
        <f>IFERROR(__xludf.DUMMYFUNCTION("""COMPUTED_VALUE"""),450.0)</f>
        <v>450</v>
      </c>
      <c r="R644" s="69" t="str">
        <f>IFERROR(__xludf.DUMMYFUNCTION("""COMPUTED_VALUE"""),"Goldman Sachs, PJT Partners")</f>
        <v>Goldman Sachs, PJT Partners</v>
      </c>
      <c r="S644" s="64">
        <f>IFERROR(__xludf.DUMMYFUNCTION("""COMPUTED_VALUE"""),44836.0)</f>
        <v>44836</v>
      </c>
      <c r="T644" s="70">
        <f>IFERROR(__xludf.DUMMYFUNCTION("""COMPUTED_VALUE"""),0.2602739726027397)</f>
        <v>0.2602739726</v>
      </c>
      <c r="U644" s="71" t="str">
        <f>IFERROR(__xludf.DUMMYFUNCTION("""COMPUTED_VALUE"""),"https://www.sec.gov/cgi-bin/browse-edgar?CIK=1820852")</f>
        <v>https://www.sec.gov/cgi-bin/browse-edgar?CIK=1820852</v>
      </c>
      <c r="V644" s="72" t="str">
        <f>IFERROR(__xludf.DUMMYFUNCTION("""COMPUTED_VALUE""")," Trading Below $10 (Common)    Optionable      Top Tier UW ")</f>
        <v> Trading Below $10 (Common)    Optionable      Top Tier UW </v>
      </c>
      <c r="W644" s="73"/>
      <c r="X644" s="74"/>
      <c r="Y644" s="75"/>
      <c r="Z644" s="60"/>
      <c r="AA644" s="60"/>
      <c r="AB644" s="60"/>
      <c r="AC644" s="60"/>
      <c r="AD644" s="73"/>
      <c r="AE644" s="73"/>
      <c r="AF644" s="76"/>
      <c r="AG644" s="60" t="str">
        <f>IFERROR(__xludf.DUMMYFUNCTION("""COMPUTED_VALUE"""),"")</f>
        <v/>
      </c>
    </row>
    <row r="645">
      <c r="A645" s="88" t="str">
        <f>IFERROR(__xludf.DUMMYFUNCTION("""COMPUTED_VALUE"""),"SEDA")</f>
        <v>SEDA</v>
      </c>
      <c r="B645" s="55" t="str">
        <f>IFERROR(__xludf.DUMMYFUNCTION("""COMPUTED_VALUE"""),"SDCL EDGE Acquisition Corp")</f>
        <v>SDCL EDGE Acquisition Corp</v>
      </c>
      <c r="C645" s="56" t="str">
        <f>IFERROR(__xludf.DUMMYFUNCTION("""COMPUTED_VALUE"""),"Pre IPO")</f>
        <v>Pre IPO</v>
      </c>
      <c r="D645" s="57" t="str">
        <f>IFERROR(__xludf.DUMMYFUNCTION("""COMPUTED_VALUE"""),"Energy Transition, Sustainability, Transport")</f>
        <v>Energy Transition, Sustainability, Transport</v>
      </c>
      <c r="E645" s="58"/>
      <c r="F645" s="59"/>
      <c r="G645" s="60">
        <f>IFERROR(__xludf.DUMMYFUNCTION("""COMPUTED_VALUE"""),2.5E8)</f>
        <v>250000000</v>
      </c>
      <c r="H645" s="60" t="str">
        <f>IFERROR(__xludf.DUMMYFUNCTION("""COMPUTED_VALUE""")," ")</f>
        <v> </v>
      </c>
      <c r="I645" s="66" t="str">
        <f>IFERROR(__xludf.DUMMYFUNCTION("""COMPUTED_VALUE""")," ")</f>
        <v> </v>
      </c>
      <c r="J645" s="62" t="str">
        <f>IFERROR(__xludf.DUMMYFUNCTION("""COMPUTED_VALUE""")," ")</f>
        <v> </v>
      </c>
      <c r="K645" s="59" t="str">
        <f>IFERROR(__xludf.DUMMYFUNCTION("""COMPUTED_VALUE""")," ")</f>
        <v> </v>
      </c>
      <c r="L645" s="87" t="str">
        <f>IFERROR(__xludf.DUMMYFUNCTION("""COMPUTED_VALUE""")," ")</f>
        <v> </v>
      </c>
      <c r="M645" s="64" t="str">
        <f>IFERROR(__xludf.DUMMYFUNCTION("""COMPUTED_VALUE"""),"U: [1/3 W]; W: [1:1, $11.5]")</f>
        <v>U: [1/3 W]; W: [1:1, $11.5]</v>
      </c>
      <c r="N645" s="65" t="str">
        <f>IFERROR(__xludf.DUMMYFUNCTION("""COMPUTED_VALUE"""),"")</f>
        <v/>
      </c>
      <c r="O645" s="66">
        <f>IFERROR(__xludf.DUMMYFUNCTION("""COMPUTED_VALUE"""),0.0)</f>
        <v>0</v>
      </c>
      <c r="P645" s="67"/>
      <c r="Q645" s="68">
        <f>IFERROR(__xludf.DUMMYFUNCTION("""COMPUTED_VALUE"""),250.0)</f>
        <v>250</v>
      </c>
      <c r="R645" s="69" t="str">
        <f>IFERROR(__xludf.DUMMYFUNCTION("""COMPUTED_VALUE"""),"Goldman Sachs &amp; Co. LLC, BofA Securities")</f>
        <v>Goldman Sachs &amp; Co. LLC, BofA Securities</v>
      </c>
      <c r="S645" s="64">
        <f>IFERROR(__xludf.DUMMYFUNCTION("""COMPUTED_VALUE"""),45086.0)</f>
        <v>45086</v>
      </c>
      <c r="T645" s="70" t="str">
        <f>IFERROR(__xludf.DUMMYFUNCTION("""COMPUTED_VALUE"""),"")</f>
        <v/>
      </c>
      <c r="U645" s="71" t="str">
        <f>IFERROR(__xludf.DUMMYFUNCTION("""COMPUTED_VALUE"""),"https://www.sec.gov/cgi-bin/browse-edgar?CIK=1846975")</f>
        <v>https://www.sec.gov/cgi-bin/browse-edgar?CIK=1846975</v>
      </c>
      <c r="V645" s="72" t="str">
        <f>IFERROR(__xludf.DUMMYFUNCTION("""COMPUTED_VALUE"""),"           Top Tier UW ")</f>
        <v>           Top Tier UW </v>
      </c>
      <c r="W645" s="73"/>
      <c r="X645" s="74"/>
      <c r="Y645" s="75"/>
      <c r="Z645" s="60"/>
      <c r="AA645" s="60"/>
      <c r="AB645" s="60"/>
      <c r="AC645" s="60"/>
      <c r="AD645" s="73"/>
      <c r="AE645" s="73"/>
      <c r="AF645" s="76"/>
      <c r="AG645" s="60"/>
    </row>
    <row r="646">
      <c r="A646" s="88" t="str">
        <f>IFERROR(__xludf.DUMMYFUNCTION("""COMPUTED_VALUE"""),"SEPG")</f>
        <v>SEPG</v>
      </c>
      <c r="B646" s="55" t="str">
        <f>IFERROR(__xludf.DUMMYFUNCTION("""COMPUTED_VALUE"""),"SEP Growth Holdings Corp.")</f>
        <v>SEP Growth Holdings Corp.</v>
      </c>
      <c r="C646" s="56" t="str">
        <f>IFERROR(__xludf.DUMMYFUNCTION("""COMPUTED_VALUE"""),"Pre IPO")</f>
        <v>Pre IPO</v>
      </c>
      <c r="D646" s="77" t="str">
        <f>IFERROR(__xludf.DUMMYFUNCTION("""COMPUTED_VALUE"""),"Tech")</f>
        <v>Tech</v>
      </c>
      <c r="E646" s="58"/>
      <c r="F646" s="59"/>
      <c r="G646" s="60">
        <f>IFERROR(__xludf.DUMMYFUNCTION("""COMPUTED_VALUE"""),2.5E8)</f>
        <v>250000000</v>
      </c>
      <c r="H646" s="60" t="str">
        <f>IFERROR(__xludf.DUMMYFUNCTION("""COMPUTED_VALUE""")," ")</f>
        <v> </v>
      </c>
      <c r="I646" s="66" t="str">
        <f>IFERROR(__xludf.DUMMYFUNCTION("""COMPUTED_VALUE""")," ")</f>
        <v> </v>
      </c>
      <c r="J646" s="62" t="str">
        <f>IFERROR(__xludf.DUMMYFUNCTION("""COMPUTED_VALUE""")," ")</f>
        <v> </v>
      </c>
      <c r="K646" s="59" t="str">
        <f>IFERROR(__xludf.DUMMYFUNCTION("""COMPUTED_VALUE""")," ")</f>
        <v> </v>
      </c>
      <c r="L646" s="87" t="str">
        <f>IFERROR(__xludf.DUMMYFUNCTION("""COMPUTED_VALUE""")," ")</f>
        <v> </v>
      </c>
      <c r="M646" s="64" t="str">
        <f>IFERROR(__xludf.DUMMYFUNCTION("""COMPUTED_VALUE"""),"U: [1/4 W]; W: [1:1, $11.5]")</f>
        <v>U: [1/4 W]; W: [1:1, $11.5]</v>
      </c>
      <c r="N646" s="65" t="str">
        <f>IFERROR(__xludf.DUMMYFUNCTION("""COMPUTED_VALUE"""),"")</f>
        <v/>
      </c>
      <c r="O646" s="66">
        <f>IFERROR(__xludf.DUMMYFUNCTION("""COMPUTED_VALUE"""),0.0)</f>
        <v>0</v>
      </c>
      <c r="P646" s="67"/>
      <c r="Q646" s="68">
        <f>IFERROR(__xludf.DUMMYFUNCTION("""COMPUTED_VALUE"""),250.0)</f>
        <v>250</v>
      </c>
      <c r="R646" s="69" t="str">
        <f>IFERROR(__xludf.DUMMYFUNCTION("""COMPUTED_VALUE"""),"Citigroup, J.P. Morgan")</f>
        <v>Citigroup, J.P. Morgan</v>
      </c>
      <c r="S646" s="64">
        <f>IFERROR(__xludf.DUMMYFUNCTION("""COMPUTED_VALUE"""),45086.0)</f>
        <v>45086</v>
      </c>
      <c r="T646" s="70" t="str">
        <f>IFERROR(__xludf.DUMMYFUNCTION("""COMPUTED_VALUE"""),"")</f>
        <v/>
      </c>
      <c r="U646" s="71" t="str">
        <f>IFERROR(__xludf.DUMMYFUNCTION("""COMPUTED_VALUE"""),"https://www.sec.gov/cgi-bin/browse-edgar?CIK=1846611")</f>
        <v>https://www.sec.gov/cgi-bin/browse-edgar?CIK=1846611</v>
      </c>
      <c r="V646" s="72" t="str">
        <f>IFERROR(__xludf.DUMMYFUNCTION("""COMPUTED_VALUE"""),"           Top Tier UW ")</f>
        <v>           Top Tier UW </v>
      </c>
      <c r="W646" s="73"/>
      <c r="X646" s="74"/>
      <c r="Y646" s="75"/>
      <c r="Z646" s="60"/>
      <c r="AA646" s="60"/>
      <c r="AB646" s="60"/>
      <c r="AC646" s="60"/>
      <c r="AD646" s="73"/>
      <c r="AE646" s="73"/>
      <c r="AF646" s="76"/>
      <c r="AG646" s="60"/>
    </row>
    <row r="647">
      <c r="A647" s="54" t="str">
        <f>IFERROR(__xludf.DUMMYFUNCTION("""COMPUTED_VALUE"""),"SFTW")</f>
        <v>SFTW</v>
      </c>
      <c r="B647" s="55" t="str">
        <f>IFERROR(__xludf.DUMMYFUNCTION("""COMPUTED_VALUE"""),"Osprey Technology Acquisition Corp")</f>
        <v>Osprey Technology Acquisition Corp</v>
      </c>
      <c r="C647" s="56" t="str">
        <f>IFERROR(__xludf.DUMMYFUNCTION("""COMPUTED_VALUE"""),"Definitive Agreement")</f>
        <v>Definitive Agreement</v>
      </c>
      <c r="D647" s="77" t="str">
        <f>IFERROR(__xludf.DUMMYFUNCTION("""COMPUTED_VALUE"""),"Enterprise Software")</f>
        <v>Enterprise Software</v>
      </c>
      <c r="E647" s="58" t="str">
        <f>IFERROR(__xludf.DUMMYFUNCTION("""COMPUTED_VALUE"""),"BlackSky [DA: 02/18/21]")</f>
        <v>BlackSky [DA: 02/18/21]</v>
      </c>
      <c r="F647" s="59"/>
      <c r="G647" s="60">
        <f>IFERROR(__xludf.DUMMYFUNCTION("""COMPUTED_VALUE"""),3.18009666E8)</f>
        <v>318009666</v>
      </c>
      <c r="H647" s="60">
        <f>IFERROR(__xludf.DUMMYFUNCTION("""COMPUTED_VALUE"""),3.2131E8)</f>
        <v>321310000</v>
      </c>
      <c r="I647" s="66">
        <f>IFERROR(__xludf.DUMMYFUNCTION("""COMPUTED_VALUE"""),10.16)</f>
        <v>10.16</v>
      </c>
      <c r="J647" s="62">
        <f>IFERROR(__xludf.DUMMYFUNCTION("""COMPUTED_VALUE"""),-0.01455)</f>
        <v>-0.01455</v>
      </c>
      <c r="K647" s="59">
        <f>IFERROR(__xludf.DUMMYFUNCTION("""COMPUTED_VALUE"""),11.2)</f>
        <v>11.2</v>
      </c>
      <c r="L647" s="87">
        <f>IFERROR(__xludf.DUMMYFUNCTION("""COMPUTED_VALUE"""),1.8199)</f>
        <v>1.8199</v>
      </c>
      <c r="M647" s="64" t="str">
        <f>IFERROR(__xludf.DUMMYFUNCTION("""COMPUTED_VALUE"""),"U: [1/2 W]; W: [1:1, $11.5]")</f>
        <v>U: [1/2 W]; W: [1:1, $11.5]</v>
      </c>
      <c r="N647" s="65" t="str">
        <f>IFERROR(__xludf.DUMMYFUNCTION("""COMPUTED_VALUE"""),"")</f>
        <v/>
      </c>
      <c r="O647" s="66">
        <f>IFERROR(__xludf.DUMMYFUNCTION("""COMPUTED_VALUE"""),0.0)</f>
        <v>0</v>
      </c>
      <c r="P647" s="67">
        <f>IFERROR(__xludf.DUMMYFUNCTION("""COMPUTED_VALUE"""),43770.0)</f>
        <v>43770</v>
      </c>
      <c r="Q647" s="68">
        <f>IFERROR(__xludf.DUMMYFUNCTION("""COMPUTED_VALUE"""),316.25)</f>
        <v>316.25</v>
      </c>
      <c r="R647" s="69" t="str">
        <f>IFERROR(__xludf.DUMMYFUNCTION("""COMPUTED_VALUE"""),"Credit Suisse, I-Bankers")</f>
        <v>Credit Suisse, I-Bankers</v>
      </c>
      <c r="S647" s="64">
        <f>IFERROR(__xludf.DUMMYFUNCTION("""COMPUTED_VALUE"""),44500.0)</f>
        <v>44500</v>
      </c>
      <c r="T647" s="70">
        <f>IFERROR(__xludf.DUMMYFUNCTION("""COMPUTED_VALUE"""),0.7205479452054795)</f>
        <v>0.7205479452</v>
      </c>
      <c r="U647" s="71" t="str">
        <f>IFERROR(__xludf.DUMMYFUNCTION("""COMPUTED_VALUE"""),"https://www.sec.gov/cgi-bin/browse-edgar?CIK=1753539")</f>
        <v>https://www.sec.gov/cgi-bin/browse-edgar?CIK=1753539</v>
      </c>
      <c r="V647" s="72" t="str">
        <f>IFERROR(__xludf.DUMMYFUNCTION("""COMPUTED_VALUE"""),"Aerospace     Optionable       ")</f>
        <v>Aerospace     Optionable       </v>
      </c>
      <c r="W647" s="73">
        <f>IFERROR(__xludf.DUMMYFUNCTION("""COMPUTED_VALUE"""),44245.0)</f>
        <v>44245</v>
      </c>
      <c r="X647" s="79">
        <f>IFERROR(__xludf.DUMMYFUNCTION("""COMPUTED_VALUE"""),15.833333333333334)</f>
        <v>15.83333333</v>
      </c>
      <c r="Y647" s="80" t="str">
        <f>IFERROR(__xludf.DUMMYFUNCTION("""COMPUTED_VALUE"""),"https://www.businesswire.com/news/home/20210218005480/en/BlackSky-a-Leading-Real-Time-Geospatial-Intelligence-Imagery-and-Data-Analytics-Company-to-List-on-NYSE-Through-a-Merger-With-Osprey-Technology-Acquisition-Corp")</f>
        <v>https://www.businesswire.com/news/home/20210218005480/en/BlackSky-a-Leading-Real-Time-Geospatial-Intelligence-Imagery-and-Data-Analytics-Company-to-List-on-NYSE-Through-a-Merger-With-Osprey-Technology-Acquisition-Corp</v>
      </c>
      <c r="Z647" s="81" t="str">
        <f>IFERROR(__xludf.DUMMYFUNCTION("""COMPUTED_VALUE"""),"https://www.sec.gov/Archives/edgar/data/1753539/000119312521047044/d135867dex992.htm")</f>
        <v>https://www.sec.gov/Archives/edgar/data/1753539/000119312521047044/d135867dex992.htm</v>
      </c>
      <c r="AA647" s="60">
        <f>IFERROR(__xludf.DUMMYFUNCTION("""COMPUTED_VALUE"""),1.8E8)</f>
        <v>180000000</v>
      </c>
      <c r="AB647" s="60">
        <f>IFERROR(__xludf.DUMMYFUNCTION("""COMPUTED_VALUE"""),1.477E9)</f>
        <v>1477000000</v>
      </c>
      <c r="AC647" s="60">
        <f>IFERROR(__xludf.DUMMYFUNCTION("""COMPUTED_VALUE"""),1.106E9)</f>
        <v>1106000000</v>
      </c>
      <c r="AD647" s="73"/>
      <c r="AE647" s="73"/>
      <c r="AF647" s="76">
        <f>IFERROR(__xludf.DUMMYFUNCTION("""COMPUTED_VALUE"""),1.477E8)</f>
        <v>147700000</v>
      </c>
      <c r="AG647" s="60">
        <f>IFERROR(__xludf.DUMMYFUNCTION("""COMPUTED_VALUE"""),1.500632E9)</f>
        <v>1500632000</v>
      </c>
    </row>
    <row r="648">
      <c r="A648" s="88" t="str">
        <f>IFERROR(__xludf.DUMMYFUNCTION("""COMPUTED_VALUE"""),"SGAM")</f>
        <v>SGAM</v>
      </c>
      <c r="B648" s="55" t="str">
        <f>IFERROR(__xludf.DUMMYFUNCTION("""COMPUTED_VALUE"""),"Seaport Global Acquisition Corp.")</f>
        <v>Seaport Global Acquisition Corp.</v>
      </c>
      <c r="C648" s="56" t="str">
        <f>IFERROR(__xludf.DUMMYFUNCTION("""COMPUTED_VALUE"""),"Searching")</f>
        <v>Searching</v>
      </c>
      <c r="D648" s="57"/>
      <c r="E648" s="58"/>
      <c r="F648" s="59"/>
      <c r="G648" s="60">
        <f>IFERROR(__xludf.DUMMYFUNCTION("""COMPUTED_VALUE"""),1.45194202E8)</f>
        <v>145194202</v>
      </c>
      <c r="H648" s="60">
        <f>IFERROR(__xludf.DUMMYFUNCTION("""COMPUTED_VALUE"""),1.42815625E8)</f>
        <v>142815625</v>
      </c>
      <c r="I648" s="66">
        <f>IFERROR(__xludf.DUMMYFUNCTION("""COMPUTED_VALUE"""),9.935)</f>
        <v>9.935</v>
      </c>
      <c r="J648" s="62">
        <f>IFERROR(__xludf.DUMMYFUNCTION("""COMPUTED_VALUE"""),0.00455)</f>
        <v>0.00455</v>
      </c>
      <c r="K648" s="59">
        <f>IFERROR(__xludf.DUMMYFUNCTION("""COMPUTED_VALUE"""),10.35)</f>
        <v>10.35</v>
      </c>
      <c r="L648" s="87">
        <f>IFERROR(__xludf.DUMMYFUNCTION("""COMPUTED_VALUE"""),0.72)</f>
        <v>0.72</v>
      </c>
      <c r="M648" s="64" t="str">
        <f>IFERROR(__xludf.DUMMYFUNCTION("""COMPUTED_VALUE"""),"U: [3/4 W]; W: [1:1, $11.5]")</f>
        <v>U: [3/4 W]; W: [1:1, $11.5]</v>
      </c>
      <c r="N648" s="65" t="str">
        <f>IFERROR(__xludf.DUMMYFUNCTION("""COMPUTED_VALUE"""),"")</f>
        <v/>
      </c>
      <c r="O648" s="66">
        <f>IFERROR(__xludf.DUMMYFUNCTION("""COMPUTED_VALUE"""),0.0)</f>
        <v>0</v>
      </c>
      <c r="P648" s="67">
        <f>IFERROR(__xludf.DUMMYFUNCTION("""COMPUTED_VALUE"""),44165.0)</f>
        <v>44165</v>
      </c>
      <c r="Q648" s="68">
        <f>IFERROR(__xludf.DUMMYFUNCTION("""COMPUTED_VALUE"""),145.1875)</f>
        <v>145.1875</v>
      </c>
      <c r="R648" s="69" t="str">
        <f>IFERROR(__xludf.DUMMYFUNCTION("""COMPUTED_VALUE"""),"B. Riley Securities")</f>
        <v>B. Riley Securities</v>
      </c>
      <c r="S648" s="64">
        <f>IFERROR(__xludf.DUMMYFUNCTION("""COMPUTED_VALUE"""),44712.5)</f>
        <v>44712.5</v>
      </c>
      <c r="T648" s="70">
        <f>IFERROR(__xludf.DUMMYFUNCTION("""COMPUTED_VALUE"""),0.23926940639269406)</f>
        <v>0.2392694064</v>
      </c>
      <c r="U648" s="71" t="str">
        <f>IFERROR(__xludf.DUMMYFUNCTION("""COMPUTED_VALUE"""),"https://www.sec.gov/cgi-bin/browse-edgar?CIK=1820201")</f>
        <v>https://www.sec.gov/cgi-bin/browse-edgar?CIK=1820201</v>
      </c>
      <c r="V648" s="72" t="str">
        <f>IFERROR(__xludf.DUMMYFUNCTION("""COMPUTED_VALUE""")," Trading Below $10 (Common)           ")</f>
        <v> Trading Below $10 (Common)           </v>
      </c>
      <c r="W648" s="73"/>
      <c r="X648" s="74"/>
      <c r="Y648" s="75"/>
      <c r="Z648" s="60"/>
      <c r="AA648" s="60"/>
      <c r="AB648" s="60"/>
      <c r="AC648" s="60"/>
      <c r="AD648" s="73"/>
      <c r="AE648" s="73"/>
      <c r="AF648" s="76"/>
      <c r="AG648" s="60" t="str">
        <f>IFERROR(__xludf.DUMMYFUNCTION("""COMPUTED_VALUE"""),"")</f>
        <v/>
      </c>
    </row>
    <row r="649">
      <c r="A649" s="54" t="str">
        <f>IFERROR(__xludf.DUMMYFUNCTION("""COMPUTED_VALUE"""),"SHAC")</f>
        <v>SHAC</v>
      </c>
      <c r="B649" s="55" t="str">
        <f>IFERROR(__xludf.DUMMYFUNCTION("""COMPUTED_VALUE"""),"SCP &amp; CO Healthcare Acquisition Company")</f>
        <v>SCP &amp; CO Healthcare Acquisition Company</v>
      </c>
      <c r="C649" s="56" t="str">
        <f>IFERROR(__xludf.DUMMYFUNCTION("""COMPUTED_VALUE"""),"Searching")</f>
        <v>Searching</v>
      </c>
      <c r="D649" s="57" t="str">
        <f>IFERROR(__xludf.DUMMYFUNCTION("""COMPUTED_VALUE"""),"Healthcare")</f>
        <v>Healthcare</v>
      </c>
      <c r="E649" s="58"/>
      <c r="F649" s="59" t="str">
        <f>IFERROR(__xludf.DUMMYFUNCTION("""COMPUTED_VALUE"""),"Alan Gold (Exec Chairman, Innovative Industrial Properties), Tim Main (Chairman, Jabil; Director, Quest Diagnostics)")</f>
        <v>Alan Gold (Exec Chairman, Innovative Industrial Properties), Tim Main (Chairman, Jabil; Director, Quest Diagnostics)</v>
      </c>
      <c r="G649" s="60">
        <f>IFERROR(__xludf.DUMMYFUNCTION("""COMPUTED_VALUE"""),2.3E8)</f>
        <v>230000000</v>
      </c>
      <c r="H649" s="60">
        <f>IFERROR(__xludf.DUMMYFUNCTION("""COMPUTED_VALUE"""),2.2425E8)</f>
        <v>224250000</v>
      </c>
      <c r="I649" s="66">
        <f>IFERROR(__xludf.DUMMYFUNCTION("""COMPUTED_VALUE"""),9.75)</f>
        <v>9.75</v>
      </c>
      <c r="J649" s="62">
        <f>IFERROR(__xludf.DUMMYFUNCTION("""COMPUTED_VALUE"""),-0.00102)</f>
        <v>-0.00102</v>
      </c>
      <c r="K649" s="59">
        <f>IFERROR(__xludf.DUMMYFUNCTION("""COMPUTED_VALUE"""),10.03)</f>
        <v>10.03</v>
      </c>
      <c r="L649" s="87">
        <f>IFERROR(__xludf.DUMMYFUNCTION("""COMPUTED_VALUE"""),0.66)</f>
        <v>0.66</v>
      </c>
      <c r="M649" s="64" t="str">
        <f>IFERROR(__xludf.DUMMYFUNCTION("""COMPUTED_VALUE"""),"U: [1/2 W]; W: [1:1, $11.5]")</f>
        <v>U: [1/2 W]; W: [1:1, $11.5]</v>
      </c>
      <c r="N649" s="65">
        <f>IFERROR(__xludf.DUMMYFUNCTION("""COMPUTED_VALUE"""),44270.0)</f>
        <v>44270</v>
      </c>
      <c r="O649" s="66">
        <f>IFERROR(__xludf.DUMMYFUNCTION("""COMPUTED_VALUE"""),0.0)</f>
        <v>0</v>
      </c>
      <c r="P649" s="67">
        <f>IFERROR(__xludf.DUMMYFUNCTION("""COMPUTED_VALUE"""),44217.0)</f>
        <v>44217</v>
      </c>
      <c r="Q649" s="68">
        <f>IFERROR(__xludf.DUMMYFUNCTION("""COMPUTED_VALUE"""),230.0)</f>
        <v>230</v>
      </c>
      <c r="R649" s="69" t="str">
        <f>IFERROR(__xludf.DUMMYFUNCTION("""COMPUTED_VALUE"""),"Barclays, Piper Sandler")</f>
        <v>Barclays, Piper Sandler</v>
      </c>
      <c r="S649" s="64">
        <f>IFERROR(__xludf.DUMMYFUNCTION("""COMPUTED_VALUE"""),44947.0)</f>
        <v>44947</v>
      </c>
      <c r="T649" s="70">
        <f>IFERROR(__xludf.DUMMYFUNCTION("""COMPUTED_VALUE"""),0.10821917808219178)</f>
        <v>0.1082191781</v>
      </c>
      <c r="U649" s="71" t="str">
        <f>IFERROR(__xludf.DUMMYFUNCTION("""COMPUTED_VALUE"""),"https://www.sec.gov/cgi-bin/browse-edgar?CIK=1820160")</f>
        <v>https://www.sec.gov/cgi-bin/browse-edgar?CIK=1820160</v>
      </c>
      <c r="V649" s="72" t="str">
        <f>IFERROR(__xludf.DUMMYFUNCTION("""COMPUTED_VALUE""")," Trading Below $10 (Common)           ")</f>
        <v> Trading Below $10 (Common)           </v>
      </c>
      <c r="W649" s="73"/>
      <c r="X649" s="74"/>
      <c r="Y649" s="75"/>
      <c r="Z649" s="60"/>
      <c r="AA649" s="60"/>
      <c r="AB649" s="60"/>
      <c r="AC649" s="60"/>
      <c r="AD649" s="73"/>
      <c r="AE649" s="73"/>
      <c r="AF649" s="76"/>
      <c r="AG649" s="60" t="str">
        <f>IFERROR(__xludf.DUMMYFUNCTION("""COMPUTED_VALUE"""),"")</f>
        <v/>
      </c>
    </row>
    <row r="650">
      <c r="A650" s="88" t="str">
        <f>IFERROR(__xludf.DUMMYFUNCTION("""COMPUTED_VALUE"""),"SHCA")</f>
        <v>SHCA</v>
      </c>
      <c r="B650" s="55" t="str">
        <f>IFERROR(__xludf.DUMMYFUNCTION("""COMPUTED_VALUE"""),"Spindletop Health Acquisition Corp.")</f>
        <v>Spindletop Health Acquisition Corp.</v>
      </c>
      <c r="C650" s="56" t="str">
        <f>IFERROR(__xludf.DUMMYFUNCTION("""COMPUTED_VALUE"""),"Pre IPO")</f>
        <v>Pre IPO</v>
      </c>
      <c r="D650" s="77" t="str">
        <f>IFERROR(__xludf.DUMMYFUNCTION("""COMPUTED_VALUE"""),"Healthcare")</f>
        <v>Healthcare</v>
      </c>
      <c r="E650" s="58"/>
      <c r="F650" s="59"/>
      <c r="G650" s="60">
        <f>IFERROR(__xludf.DUMMYFUNCTION("""COMPUTED_VALUE"""),2.0E8)</f>
        <v>200000000</v>
      </c>
      <c r="H650" s="60" t="str">
        <f>IFERROR(__xludf.DUMMYFUNCTION("""COMPUTED_VALUE""")," ")</f>
        <v> </v>
      </c>
      <c r="I650" s="66" t="str">
        <f>IFERROR(__xludf.DUMMYFUNCTION("""COMPUTED_VALUE""")," ")</f>
        <v> </v>
      </c>
      <c r="J650" s="62" t="str">
        <f>IFERROR(__xludf.DUMMYFUNCTION("""COMPUTED_VALUE""")," ")</f>
        <v> </v>
      </c>
      <c r="K650" s="59" t="str">
        <f>IFERROR(__xludf.DUMMYFUNCTION("""COMPUTED_VALUE""")," ")</f>
        <v> </v>
      </c>
      <c r="L650" s="87" t="str">
        <f>IFERROR(__xludf.DUMMYFUNCTION("""COMPUTED_VALUE""")," ")</f>
        <v> </v>
      </c>
      <c r="M650" s="64" t="str">
        <f>IFERROR(__xludf.DUMMYFUNCTION("""COMPUTED_VALUE"""),"U: [1/3 W]; W: [1:1, $11.5]")</f>
        <v>U: [1/3 W]; W: [1:1, $11.5]</v>
      </c>
      <c r="N650" s="65" t="str">
        <f>IFERROR(__xludf.DUMMYFUNCTION("""COMPUTED_VALUE"""),"")</f>
        <v/>
      </c>
      <c r="O650" s="66">
        <f>IFERROR(__xludf.DUMMYFUNCTION("""COMPUTED_VALUE"""),0.0)</f>
        <v>0</v>
      </c>
      <c r="P650" s="67"/>
      <c r="Q650" s="68">
        <f>IFERROR(__xludf.DUMMYFUNCTION("""COMPUTED_VALUE"""),200.0)</f>
        <v>200</v>
      </c>
      <c r="R650" s="69" t="str">
        <f>IFERROR(__xludf.DUMMYFUNCTION("""COMPUTED_VALUE"""),"Barclays, Stifel")</f>
        <v>Barclays, Stifel</v>
      </c>
      <c r="S650" s="64">
        <f>IFERROR(__xludf.DUMMYFUNCTION("""COMPUTED_VALUE"""),45086.0)</f>
        <v>45086</v>
      </c>
      <c r="T650" s="70" t="str">
        <f>IFERROR(__xludf.DUMMYFUNCTION("""COMPUTED_VALUE"""),"")</f>
        <v/>
      </c>
      <c r="U650" s="71" t="str">
        <f>IFERROR(__xludf.DUMMYFUNCTION("""COMPUTED_VALUE"""),"https://www.sec.gov/cgi-bin/browse-edgar?CIK=1848558")</f>
        <v>https://www.sec.gov/cgi-bin/browse-edgar?CIK=1848558</v>
      </c>
      <c r="V650" s="72" t="str">
        <f>IFERROR(__xludf.DUMMYFUNCTION("""COMPUTED_VALUE"""),"            ")</f>
        <v>            </v>
      </c>
      <c r="W650" s="73"/>
      <c r="X650" s="74"/>
      <c r="Y650" s="75"/>
      <c r="Z650" s="60"/>
      <c r="AA650" s="60"/>
      <c r="AB650" s="60"/>
      <c r="AC650" s="60"/>
      <c r="AD650" s="73"/>
      <c r="AE650" s="73"/>
      <c r="AF650" s="76"/>
      <c r="AG650" s="60"/>
    </row>
    <row r="651">
      <c r="A651" s="88" t="str">
        <f>IFERROR(__xludf.DUMMYFUNCTION("""COMPUTED_VALUE"""),"SHQA")</f>
        <v>SHQA</v>
      </c>
      <c r="B651" s="55" t="str">
        <f>IFERROR(__xludf.DUMMYFUNCTION("""COMPUTED_VALUE"""),"Shelter Acquisition Corp I")</f>
        <v>Shelter Acquisition Corp I</v>
      </c>
      <c r="C651" s="56" t="str">
        <f>IFERROR(__xludf.DUMMYFUNCTION("""COMPUTED_VALUE"""),"Pre IPO")</f>
        <v>Pre IPO</v>
      </c>
      <c r="D651" s="77" t="str">
        <f>IFERROR(__xludf.DUMMYFUNCTION("""COMPUTED_VALUE"""),"PropTech")</f>
        <v>PropTech</v>
      </c>
      <c r="E651" s="58"/>
      <c r="F651" s="59" t="str">
        <f>IFERROR(__xludf.DUMMYFUNCTION("""COMPUTED_VALUE"""),"Anthony Foxx (Fmr US Secretary of Transportation, Chief Policy Officer, Lyft)")</f>
        <v>Anthony Foxx (Fmr US Secretary of Transportation, Chief Policy Officer, Lyft)</v>
      </c>
      <c r="G651" s="60">
        <f>IFERROR(__xludf.DUMMYFUNCTION("""COMPUTED_VALUE"""),2.0E8)</f>
        <v>200000000</v>
      </c>
      <c r="H651" s="60" t="str">
        <f>IFERROR(__xludf.DUMMYFUNCTION("""COMPUTED_VALUE""")," ")</f>
        <v> </v>
      </c>
      <c r="I651" s="66" t="str">
        <f>IFERROR(__xludf.DUMMYFUNCTION("""COMPUTED_VALUE""")," ")</f>
        <v> </v>
      </c>
      <c r="J651" s="62" t="str">
        <f>IFERROR(__xludf.DUMMYFUNCTION("""COMPUTED_VALUE""")," ")</f>
        <v> </v>
      </c>
      <c r="K651" s="59" t="str">
        <f>IFERROR(__xludf.DUMMYFUNCTION("""COMPUTED_VALUE""")," ")</f>
        <v> </v>
      </c>
      <c r="L651" s="87" t="str">
        <f>IFERROR(__xludf.DUMMYFUNCTION("""COMPUTED_VALUE""")," ")</f>
        <v> </v>
      </c>
      <c r="M651" s="64" t="str">
        <f>IFERROR(__xludf.DUMMYFUNCTION("""COMPUTED_VALUE"""),"U: [1/3 W]; W: [1:1, $11.5]")</f>
        <v>U: [1/3 W]; W: [1:1, $11.5]</v>
      </c>
      <c r="N651" s="65" t="str">
        <f>IFERROR(__xludf.DUMMYFUNCTION("""COMPUTED_VALUE"""),"")</f>
        <v/>
      </c>
      <c r="O651" s="66" t="str">
        <f>IFERROR(__xludf.DUMMYFUNCTION("""COMPUTED_VALUE"""),"")</f>
        <v/>
      </c>
      <c r="P651" s="67"/>
      <c r="Q651" s="68">
        <f>IFERROR(__xludf.DUMMYFUNCTION("""COMPUTED_VALUE"""),200.0)</f>
        <v>200</v>
      </c>
      <c r="R651" s="69" t="str">
        <f>IFERROR(__xludf.DUMMYFUNCTION("""COMPUTED_VALUE"""),"Citigroup, Wells Fargo Securities")</f>
        <v>Citigroup, Wells Fargo Securities</v>
      </c>
      <c r="S651" s="64">
        <f>IFERROR(__xludf.DUMMYFUNCTION("""COMPUTED_VALUE"""),45086.0)</f>
        <v>45086</v>
      </c>
      <c r="T651" s="70" t="str">
        <f>IFERROR(__xludf.DUMMYFUNCTION("""COMPUTED_VALUE"""),"")</f>
        <v/>
      </c>
      <c r="U651" s="71" t="str">
        <f>IFERROR(__xludf.DUMMYFUNCTION("""COMPUTED_VALUE"""),"https://www.sec.gov/cgi-bin/browse-edgar?CIK=1844908")</f>
        <v>https://www.sec.gov/cgi-bin/browse-edgar?CIK=1844908</v>
      </c>
      <c r="V651" s="72" t="str">
        <f>IFERROR(__xludf.DUMMYFUNCTION("""COMPUTED_VALUE"""),"           Top Tier UW ")</f>
        <v>           Top Tier UW </v>
      </c>
      <c r="W651" s="73"/>
      <c r="X651" s="74"/>
      <c r="Y651" s="75"/>
      <c r="Z651" s="60"/>
      <c r="AA651" s="60"/>
      <c r="AB651" s="60"/>
      <c r="AC651" s="60"/>
      <c r="AD651" s="73"/>
      <c r="AE651" s="73"/>
      <c r="AF651" s="76"/>
      <c r="AG651" s="60"/>
    </row>
    <row r="652">
      <c r="A652" s="88" t="str">
        <f>IFERROR(__xludf.DUMMYFUNCTION("""COMPUTED_VALUE"""),"SIER")</f>
        <v>SIER</v>
      </c>
      <c r="B652" s="55" t="str">
        <f>IFERROR(__xludf.DUMMYFUNCTION("""COMPUTED_VALUE"""),"Sierra Lake Acquisition Corp.")</f>
        <v>Sierra Lake Acquisition Corp.</v>
      </c>
      <c r="C652" s="56" t="str">
        <f>IFERROR(__xludf.DUMMYFUNCTION("""COMPUTED_VALUE"""),"Pre IPO")</f>
        <v>Pre IPO</v>
      </c>
      <c r="D652" s="57"/>
      <c r="E652" s="58"/>
      <c r="F652" s="59"/>
      <c r="G652" s="60">
        <f>IFERROR(__xludf.DUMMYFUNCTION("""COMPUTED_VALUE"""),3.0E8)</f>
        <v>300000000</v>
      </c>
      <c r="H652" s="60" t="str">
        <f>IFERROR(__xludf.DUMMYFUNCTION("""COMPUTED_VALUE""")," ")</f>
        <v> </v>
      </c>
      <c r="I652" s="66" t="str">
        <f>IFERROR(__xludf.DUMMYFUNCTION("""COMPUTED_VALUE""")," ")</f>
        <v> </v>
      </c>
      <c r="J652" s="62" t="str">
        <f>IFERROR(__xludf.DUMMYFUNCTION("""COMPUTED_VALUE""")," ")</f>
        <v> </v>
      </c>
      <c r="K652" s="59" t="str">
        <f>IFERROR(__xludf.DUMMYFUNCTION("""COMPUTED_VALUE""")," ")</f>
        <v> </v>
      </c>
      <c r="L652" s="87" t="str">
        <f>IFERROR(__xludf.DUMMYFUNCTION("""COMPUTED_VALUE""")," ")</f>
        <v> </v>
      </c>
      <c r="M652" s="64" t="str">
        <f>IFERROR(__xludf.DUMMYFUNCTION("""COMPUTED_VALUE"""),"U: [1/3 W]; W: [1:1, $11.5]")</f>
        <v>U: [1/3 W]; W: [1:1, $11.5]</v>
      </c>
      <c r="N652" s="65" t="str">
        <f>IFERROR(__xludf.DUMMYFUNCTION("""COMPUTED_VALUE"""),"")</f>
        <v/>
      </c>
      <c r="O652" s="66">
        <f>IFERROR(__xludf.DUMMYFUNCTION("""COMPUTED_VALUE"""),0.0)</f>
        <v>0</v>
      </c>
      <c r="P652" s="67"/>
      <c r="Q652" s="68">
        <f>IFERROR(__xludf.DUMMYFUNCTION("""COMPUTED_VALUE"""),300.0)</f>
        <v>300</v>
      </c>
      <c r="R652" s="69" t="str">
        <f>IFERROR(__xludf.DUMMYFUNCTION("""COMPUTED_VALUE"""),"Cantor")</f>
        <v>Cantor</v>
      </c>
      <c r="S652" s="64">
        <f>IFERROR(__xludf.DUMMYFUNCTION("""COMPUTED_VALUE"""),45086.0)</f>
        <v>45086</v>
      </c>
      <c r="T652" s="70" t="str">
        <f>IFERROR(__xludf.DUMMYFUNCTION("""COMPUTED_VALUE"""),"")</f>
        <v/>
      </c>
      <c r="U652" s="71" t="str">
        <f>IFERROR(__xludf.DUMMYFUNCTION("""COMPUTED_VALUE"""),"https://www.sec.gov/cgi-bin/browse-edgar?CIK=1844135")</f>
        <v>https://www.sec.gov/cgi-bin/browse-edgar?CIK=1844135</v>
      </c>
      <c r="V652" s="72" t="str">
        <f>IFERROR(__xludf.DUMMYFUNCTION("""COMPUTED_VALUE"""),"            ")</f>
        <v>            </v>
      </c>
      <c r="W652" s="73"/>
      <c r="X652" s="74"/>
      <c r="Y652" s="75"/>
      <c r="Z652" s="60"/>
      <c r="AA652" s="60"/>
      <c r="AB652" s="60"/>
      <c r="AC652" s="60"/>
      <c r="AD652" s="73"/>
      <c r="AE652" s="73"/>
      <c r="AF652" s="76"/>
      <c r="AG652" s="60"/>
    </row>
    <row r="653">
      <c r="A653" s="88" t="str">
        <f>IFERROR(__xludf.DUMMYFUNCTION("""COMPUTED_VALUE"""),"SKYA")</f>
        <v>SKYA</v>
      </c>
      <c r="B653" s="55" t="str">
        <f>IFERROR(__xludf.DUMMYFUNCTION("""COMPUTED_VALUE"""),"Skydeck Acquisition Corp.")</f>
        <v>Skydeck Acquisition Corp.</v>
      </c>
      <c r="C653" s="56" t="str">
        <f>IFERROR(__xludf.DUMMYFUNCTION("""COMPUTED_VALUE"""),"Pre IPO")</f>
        <v>Pre IPO</v>
      </c>
      <c r="D653" s="77" t="str">
        <f>IFERROR(__xludf.DUMMYFUNCTION("""COMPUTED_VALUE"""),"Media, Tech, Communications, Digital Health")</f>
        <v>Media, Tech, Communications, Digital Health</v>
      </c>
      <c r="E653" s="58"/>
      <c r="F653" s="59" t="str">
        <f>IFERROR(__xludf.DUMMYFUNCTION("""COMPUTED_VALUE"""),"Paul Salem (Senior Managing Director Emeritus of Providence Equity, Chairman of MGM Resorts International), Freddy” Flaxman (Former COO of the Weather Group), Janet L. Rollé (General Manager at Parkwood Entertainment, Director of BuzzFeed, Former CMO of C"&amp;"NN Worldwide), William Teuber, Jr. (Former Vice Chairman &amp; CFO of EMC Corporation)")</f>
        <v>Paul Salem (Senior Managing Director Emeritus of Providence Equity, Chairman of MGM Resorts International), Freddy” Flaxman (Former COO of the Weather Group), Janet L. Rollé (General Manager at Parkwood Entertainment, Director of BuzzFeed, Former CMO of CNN Worldwide), William Teuber, Jr. (Former Vice Chairman &amp; CFO of EMC Corporation)</v>
      </c>
      <c r="G653" s="60">
        <f>IFERROR(__xludf.DUMMYFUNCTION("""COMPUTED_VALUE"""),2.5E8)</f>
        <v>250000000</v>
      </c>
      <c r="H653" s="60" t="str">
        <f>IFERROR(__xludf.DUMMYFUNCTION("""COMPUTED_VALUE""")," ")</f>
        <v> </v>
      </c>
      <c r="I653" s="66" t="str">
        <f>IFERROR(__xludf.DUMMYFUNCTION("""COMPUTED_VALUE""")," ")</f>
        <v> </v>
      </c>
      <c r="J653" s="62" t="str">
        <f>IFERROR(__xludf.DUMMYFUNCTION("""COMPUTED_VALUE""")," ")</f>
        <v> </v>
      </c>
      <c r="K653" s="59" t="str">
        <f>IFERROR(__xludf.DUMMYFUNCTION("""COMPUTED_VALUE""")," ")</f>
        <v> </v>
      </c>
      <c r="L653" s="87" t="str">
        <f>IFERROR(__xludf.DUMMYFUNCTION("""COMPUTED_VALUE""")," ")</f>
        <v> </v>
      </c>
      <c r="M653" s="64" t="str">
        <f>IFERROR(__xludf.DUMMYFUNCTION("""COMPUTED_VALUE"""),"U: [1/3 W]; W: [1:1, $11.5]")</f>
        <v>U: [1/3 W]; W: [1:1, $11.5]</v>
      </c>
      <c r="N653" s="65" t="str">
        <f>IFERROR(__xludf.DUMMYFUNCTION("""COMPUTED_VALUE"""),"")</f>
        <v/>
      </c>
      <c r="O653" s="66">
        <f>IFERROR(__xludf.DUMMYFUNCTION("""COMPUTED_VALUE"""),0.0)</f>
        <v>0</v>
      </c>
      <c r="P653" s="67"/>
      <c r="Q653" s="68">
        <f>IFERROR(__xludf.DUMMYFUNCTION("""COMPUTED_VALUE"""),250.0)</f>
        <v>250</v>
      </c>
      <c r="R653" s="69" t="str">
        <f>IFERROR(__xludf.DUMMYFUNCTION("""COMPUTED_VALUE"""),"J.P. Morgan, Morgan Stanley")</f>
        <v>J.P. Morgan, Morgan Stanley</v>
      </c>
      <c r="S653" s="64">
        <f>IFERROR(__xludf.DUMMYFUNCTION("""COMPUTED_VALUE"""),45086.0)</f>
        <v>45086</v>
      </c>
      <c r="T653" s="70" t="str">
        <f>IFERROR(__xludf.DUMMYFUNCTION("""COMPUTED_VALUE"""),"")</f>
        <v/>
      </c>
      <c r="U653" s="71" t="str">
        <f>IFERROR(__xludf.DUMMYFUNCTION("""COMPUTED_VALUE"""),"https://www.sec.gov/cgi-bin/browse-edgar?CIK=1847152")</f>
        <v>https://www.sec.gov/cgi-bin/browse-edgar?CIK=1847152</v>
      </c>
      <c r="V653" s="72" t="str">
        <f>IFERROR(__xludf.DUMMYFUNCTION("""COMPUTED_VALUE"""),"         Well-known Sponsor  Top Tier UW ")</f>
        <v>         Well-known Sponsor  Top Tier UW </v>
      </c>
      <c r="W653" s="73"/>
      <c r="X653" s="74"/>
      <c r="Y653" s="75"/>
      <c r="Z653" s="60"/>
      <c r="AA653" s="60"/>
      <c r="AB653" s="60"/>
      <c r="AC653" s="60"/>
      <c r="AD653" s="73"/>
      <c r="AE653" s="73"/>
      <c r="AF653" s="76"/>
      <c r="AG653" s="60"/>
    </row>
    <row r="654">
      <c r="A654" s="54" t="str">
        <f>IFERROR(__xludf.DUMMYFUNCTION("""COMPUTED_VALUE"""),"SLAC")</f>
        <v>SLAC</v>
      </c>
      <c r="B654" s="55" t="str">
        <f>IFERROR(__xludf.DUMMYFUNCTION("""COMPUTED_VALUE"""),"Social Leverage Acquisition Corp I")</f>
        <v>Social Leverage Acquisition Corp I</v>
      </c>
      <c r="C654" s="56" t="str">
        <f>IFERROR(__xludf.DUMMYFUNCTION("""COMPUTED_VALUE"""),"Searching")</f>
        <v>Searching</v>
      </c>
      <c r="D654" s="57" t="str">
        <f>IFERROR(__xludf.DUMMYFUNCTION("""COMPUTED_VALUE"""),"Fintech, Enterprise Software, Consumer Tech")</f>
        <v>Fintech, Enterprise Software, Consumer Tech</v>
      </c>
      <c r="E654" s="58"/>
      <c r="F654" s="59" t="str">
        <f>IFERROR(__xludf.DUMMYFUNCTION("""COMPUTED_VALUE"""),"Howard Lindzon (Founder/MP,  Social Leverage; Co-founder/Fmr CEO, StockTwits), Paul Grinberg (Chairman, Axos Financial), Michael Lazerow (Fmr Chief Strategy Officer, Salesforce), Ross Mason (Founder, MuleSoft), Brian Norgard (Fmr Chief Product Officer, Ti"&amp;"nder)")</f>
        <v>Howard Lindzon (Founder/MP,  Social Leverage; Co-founder/Fmr CEO, StockTwits), Paul Grinberg (Chairman, Axos Financial), Michael Lazerow (Fmr Chief Strategy Officer, Salesforce), Ross Mason (Founder, MuleSoft), Brian Norgard (Fmr Chief Product Officer, Tinder)</v>
      </c>
      <c r="G654" s="60">
        <f>IFERROR(__xludf.DUMMYFUNCTION("""COMPUTED_VALUE"""),3.45E8)</f>
        <v>345000000</v>
      </c>
      <c r="H654" s="60"/>
      <c r="I654" s="66">
        <f>IFERROR(__xludf.DUMMYFUNCTION("""COMPUTED_VALUE"""),9.85)</f>
        <v>9.85</v>
      </c>
      <c r="J654" s="62">
        <f>IFERROR(__xludf.DUMMYFUNCTION("""COMPUTED_VALUE"""),0.01026)</f>
        <v>0.01026</v>
      </c>
      <c r="K654" s="59">
        <f>IFERROR(__xludf.DUMMYFUNCTION("""COMPUTED_VALUE"""),10.11)</f>
        <v>10.11</v>
      </c>
      <c r="L654" s="87">
        <f>IFERROR(__xludf.DUMMYFUNCTION("""COMPUTED_VALUE"""),1.12)</f>
        <v>1.12</v>
      </c>
      <c r="M654" s="64" t="str">
        <f>IFERROR(__xludf.DUMMYFUNCTION("""COMPUTED_VALUE"""),"U: [1/4 W]; W: [1:1, $11.5]")</f>
        <v>U: [1/4 W]; W: [1:1, $11.5]</v>
      </c>
      <c r="N654" s="65">
        <f>IFERROR(__xludf.DUMMYFUNCTION("""COMPUTED_VALUE"""),44291.0)</f>
        <v>44291</v>
      </c>
      <c r="O654" s="66">
        <f>IFERROR(__xludf.DUMMYFUNCTION("""COMPUTED_VALUE"""),0.0)</f>
        <v>0</v>
      </c>
      <c r="P654" s="67">
        <f>IFERROR(__xludf.DUMMYFUNCTION("""COMPUTED_VALUE"""),44238.0)</f>
        <v>44238</v>
      </c>
      <c r="Q654" s="68">
        <f>IFERROR(__xludf.DUMMYFUNCTION("""COMPUTED_VALUE"""),345.0)</f>
        <v>345</v>
      </c>
      <c r="R654" s="69" t="str">
        <f>IFERROR(__xludf.DUMMYFUNCTION("""COMPUTED_VALUE"""),"Barclays, BofA Securities")</f>
        <v>Barclays, BofA Securities</v>
      </c>
      <c r="S654" s="64">
        <f>IFERROR(__xludf.DUMMYFUNCTION("""COMPUTED_VALUE"""),44968.0)</f>
        <v>44968</v>
      </c>
      <c r="T654" s="70">
        <f>IFERROR(__xludf.DUMMYFUNCTION("""COMPUTED_VALUE"""),0.07945205479452055)</f>
        <v>0.07945205479</v>
      </c>
      <c r="U654" s="71" t="str">
        <f>IFERROR(__xludf.DUMMYFUNCTION("""COMPUTED_VALUE"""),"https://www.sec.gov/cgi-bin/browse-edgar?CIK=1834755")</f>
        <v>https://www.sec.gov/cgi-bin/browse-edgar?CIK=1834755</v>
      </c>
      <c r="V654" s="72" t="str">
        <f>IFERROR(__xludf.DUMMYFUNCTION("""COMPUTED_VALUE"""),"Venture Capital Trading Below $10 (Common)        Well-known Sponsor  Top Tier UW ")</f>
        <v>Venture Capital Trading Below $10 (Common)        Well-known Sponsor  Top Tier UW </v>
      </c>
      <c r="W654" s="73"/>
      <c r="X654" s="74"/>
      <c r="Y654" s="75"/>
      <c r="Z654" s="60"/>
      <c r="AA654" s="60"/>
      <c r="AB654" s="60"/>
      <c r="AC654" s="60"/>
      <c r="AD654" s="73"/>
      <c r="AE654" s="73"/>
      <c r="AF654" s="76"/>
      <c r="AG654" s="60" t="str">
        <f>IFERROR(__xludf.DUMMYFUNCTION("""COMPUTED_VALUE"""),"")</f>
        <v/>
      </c>
    </row>
    <row r="655">
      <c r="A655" s="54" t="str">
        <f>IFERROR(__xludf.DUMMYFUNCTION("""COMPUTED_VALUE"""),"SLAM")</f>
        <v>SLAM</v>
      </c>
      <c r="B655" s="55" t="str">
        <f>IFERROR(__xludf.DUMMYFUNCTION("""COMPUTED_VALUE"""),"Slam Corp.")</f>
        <v>Slam Corp.</v>
      </c>
      <c r="C655" s="56" t="str">
        <f>IFERROR(__xludf.DUMMYFUNCTION("""COMPUTED_VALUE"""),"Searching (Pre Unit Split)")</f>
        <v>Searching (Pre Unit Split)</v>
      </c>
      <c r="D655" s="77" t="str">
        <f>IFERROR(__xludf.DUMMYFUNCTION("""COMPUTED_VALUE"""),"Sports, Media, Entertainment, Health and Wellness, Consumer Tech")</f>
        <v>Sports, Media, Entertainment, Health and Wellness, Consumer Tech</v>
      </c>
      <c r="E655" s="58"/>
      <c r="F655" s="59" t="str">
        <f>IFERROR(__xludf.DUMMYFUNCTION("""COMPUTED_VALUE"""),"Alex Rodriguez, (MLB All-Star), Jagdeep Singh (Co-founder/CEO, QuantumScape), Reggie Hudlin (Film Producer: Django Unchained &amp; Marshall; Former President, BET)")</f>
        <v>Alex Rodriguez, (MLB All-Star), Jagdeep Singh (Co-founder/CEO, QuantumScape), Reggie Hudlin (Film Producer: Django Unchained &amp; Marshall; Former President, BET)</v>
      </c>
      <c r="G655" s="60">
        <f>IFERROR(__xludf.DUMMYFUNCTION("""COMPUTED_VALUE"""),5.75E8)</f>
        <v>575000000</v>
      </c>
      <c r="H655" s="60" t="str">
        <f>IFERROR(__xludf.DUMMYFUNCTION("""COMPUTED_VALUE""")," ")</f>
        <v> </v>
      </c>
      <c r="I655" s="66" t="str">
        <f>IFERROR(__xludf.DUMMYFUNCTION("""COMPUTED_VALUE""")," ")</f>
        <v> </v>
      </c>
      <c r="J655" s="62" t="str">
        <f>IFERROR(__xludf.DUMMYFUNCTION("""COMPUTED_VALUE""")," ")</f>
        <v> </v>
      </c>
      <c r="K655" s="59">
        <f>IFERROR(__xludf.DUMMYFUNCTION("""COMPUTED_VALUE"""),10.0)</f>
        <v>10</v>
      </c>
      <c r="L655" s="87" t="str">
        <f>IFERROR(__xludf.DUMMYFUNCTION("""COMPUTED_VALUE""")," ")</f>
        <v> </v>
      </c>
      <c r="M655" s="64" t="str">
        <f>IFERROR(__xludf.DUMMYFUNCTION("""COMPUTED_VALUE"""),"U: [1/4 W]; W: [1:1, $11.5]")</f>
        <v>U: [1/4 W]; W: [1:1, $11.5]</v>
      </c>
      <c r="N655" s="65">
        <f>IFERROR(__xludf.DUMMYFUNCTION("""COMPUTED_VALUE"""),44301.0)</f>
        <v>44301</v>
      </c>
      <c r="O655" s="66" t="str">
        <f>IFERROR(__xludf.DUMMYFUNCTION("""COMPUTED_VALUE"""),"")</f>
        <v/>
      </c>
      <c r="P655" s="67">
        <f>IFERROR(__xludf.DUMMYFUNCTION("""COMPUTED_VALUE"""),44249.0)</f>
        <v>44249</v>
      </c>
      <c r="Q655" s="68">
        <f>IFERROR(__xludf.DUMMYFUNCTION("""COMPUTED_VALUE"""),575.0)</f>
        <v>575</v>
      </c>
      <c r="R655" s="69" t="str">
        <f>IFERROR(__xludf.DUMMYFUNCTION("""COMPUTED_VALUE"""),"Goldman Sachs &amp; Co. LLC, BTIG")</f>
        <v>Goldman Sachs &amp; Co. LLC, BTIG</v>
      </c>
      <c r="S655" s="64">
        <f>IFERROR(__xludf.DUMMYFUNCTION("""COMPUTED_VALUE"""),44979.0)</f>
        <v>44979</v>
      </c>
      <c r="T655" s="70">
        <f>IFERROR(__xludf.DUMMYFUNCTION("""COMPUTED_VALUE"""),0.06438356164383562)</f>
        <v>0.06438356164</v>
      </c>
      <c r="U655" s="71" t="str">
        <f>IFERROR(__xludf.DUMMYFUNCTION("""COMPUTED_VALUE"""),"https://www.sec.gov/cgi-bin/browse-edgar?CIK=1838162")</f>
        <v>https://www.sec.gov/cgi-bin/browse-edgar?CIK=1838162</v>
      </c>
      <c r="V655" s="72" t="str">
        <f>IFERROR(__xludf.DUMMYFUNCTION("""COMPUTED_VALUE"""),"   $500M+ Trust     Well-known Sponsor  Top Tier UW ")</f>
        <v>   $500M+ Trust     Well-known Sponsor  Top Tier UW </v>
      </c>
      <c r="W655" s="73"/>
      <c r="X655" s="74"/>
      <c r="Y655" s="75"/>
      <c r="Z655" s="60"/>
      <c r="AA655" s="60"/>
      <c r="AB655" s="60"/>
      <c r="AC655" s="60"/>
      <c r="AD655" s="73"/>
      <c r="AE655" s="73"/>
      <c r="AF655" s="76"/>
      <c r="AG655" s="60" t="str">
        <f>IFERROR(__xludf.DUMMYFUNCTION("""COMPUTED_VALUE"""),"")</f>
        <v/>
      </c>
    </row>
    <row r="656">
      <c r="A656" s="54" t="str">
        <f>IFERROR(__xludf.DUMMYFUNCTION("""COMPUTED_VALUE"""),"SLCR")</f>
        <v>SLCR</v>
      </c>
      <c r="B656" s="55" t="str">
        <f>IFERROR(__xludf.DUMMYFUNCTION("""COMPUTED_VALUE"""),"Silver Crest Acquisition Corporation")</f>
        <v>Silver Crest Acquisition Corporation</v>
      </c>
      <c r="C656" s="56" t="str">
        <f>IFERROR(__xludf.DUMMYFUNCTION("""COMPUTED_VALUE"""),"Searching")</f>
        <v>Searching</v>
      </c>
      <c r="D656" s="57" t="str">
        <f>IFERROR(__xludf.DUMMYFUNCTION("""COMPUTED_VALUE"""),"Consumer, Consumer Tech")</f>
        <v>Consumer, Consumer Tech</v>
      </c>
      <c r="E656" s="58"/>
      <c r="F656" s="59" t="str">
        <f>IFERROR(__xludf.DUMMYFUNCTION("""COMPUTED_VALUE"""),"Leon Meng (Founding MP, Ascendant Capital; Fmr Managing Director, D.E. Shaw), Andy Bryant (Fmr Chairman, Intel; Director, Columbia Sportswear), Steeve Hagege (Fmr CEO, BOLD)")</f>
        <v>Leon Meng (Founding MP, Ascendant Capital; Fmr Managing Director, D.E. Shaw), Andy Bryant (Fmr Chairman, Intel; Director, Columbia Sportswear), Steeve Hagege (Fmr CEO, BOLD)</v>
      </c>
      <c r="G656" s="60">
        <f>IFERROR(__xludf.DUMMYFUNCTION("""COMPUTED_VALUE"""),3.45E8)</f>
        <v>345000000</v>
      </c>
      <c r="H656" s="60">
        <f>IFERROR(__xludf.DUMMYFUNCTION("""COMPUTED_VALUE"""),3.3741E8)</f>
        <v>337410000</v>
      </c>
      <c r="I656" s="66">
        <f>IFERROR(__xludf.DUMMYFUNCTION("""COMPUTED_VALUE"""),9.78)</f>
        <v>9.78</v>
      </c>
      <c r="J656" s="62">
        <f>IFERROR(__xludf.DUMMYFUNCTION("""COMPUTED_VALUE"""),0.00411)</f>
        <v>0.00411</v>
      </c>
      <c r="K656" s="59">
        <f>IFERROR(__xludf.DUMMYFUNCTION("""COMPUTED_VALUE"""),10.0)</f>
        <v>10</v>
      </c>
      <c r="L656" s="87">
        <f>IFERROR(__xludf.DUMMYFUNCTION("""COMPUTED_VALUE"""),0.6156)</f>
        <v>0.6156</v>
      </c>
      <c r="M656" s="64" t="str">
        <f>IFERROR(__xludf.DUMMYFUNCTION("""COMPUTED_VALUE"""),"U: [1/2 W]; W: [1:1, $11.5]")</f>
        <v>U: [1/2 W]; W: [1:1, $11.5]</v>
      </c>
      <c r="N656" s="65">
        <f>IFERROR(__xludf.DUMMYFUNCTION("""COMPUTED_VALUE"""),44263.0)</f>
        <v>44263</v>
      </c>
      <c r="O656" s="66">
        <f>IFERROR(__xludf.DUMMYFUNCTION("""COMPUTED_VALUE"""),0.0)</f>
        <v>0</v>
      </c>
      <c r="P656" s="67">
        <f>IFERROR(__xludf.DUMMYFUNCTION("""COMPUTED_VALUE"""),44210.0)</f>
        <v>44210</v>
      </c>
      <c r="Q656" s="68">
        <f>IFERROR(__xludf.DUMMYFUNCTION("""COMPUTED_VALUE"""),345.0)</f>
        <v>345</v>
      </c>
      <c r="R656" s="69" t="str">
        <f>IFERROR(__xludf.DUMMYFUNCTION("""COMPUTED_VALUE"""),"UBS")</f>
        <v>UBS</v>
      </c>
      <c r="S656" s="64">
        <f>IFERROR(__xludf.DUMMYFUNCTION("""COMPUTED_VALUE"""),44940.0)</f>
        <v>44940</v>
      </c>
      <c r="T656" s="70">
        <f>IFERROR(__xludf.DUMMYFUNCTION("""COMPUTED_VALUE"""),0.1178082191780822)</f>
        <v>0.1178082192</v>
      </c>
      <c r="U656" s="71" t="str">
        <f>IFERROR(__xludf.DUMMYFUNCTION("""COMPUTED_VALUE"""),"https://www.sec.gov/cgi-bin/browse-edgar?CIK=1826553")</f>
        <v>https://www.sec.gov/cgi-bin/browse-edgar?CIK=1826553</v>
      </c>
      <c r="V656" s="72" t="str">
        <f>IFERROR(__xludf.DUMMYFUNCTION("""COMPUTED_VALUE""")," Trading Below $10 (Common)           ")</f>
        <v> Trading Below $10 (Common)           </v>
      </c>
      <c r="W656" s="73"/>
      <c r="X656" s="74"/>
      <c r="Y656" s="75"/>
      <c r="Z656" s="60"/>
      <c r="AA656" s="60"/>
      <c r="AB656" s="60"/>
      <c r="AC656" s="60"/>
      <c r="AD656" s="73"/>
      <c r="AE656" s="73"/>
      <c r="AF656" s="76"/>
      <c r="AG656" s="60" t="str">
        <f>IFERROR(__xludf.DUMMYFUNCTION("""COMPUTED_VALUE"""),"")</f>
        <v/>
      </c>
    </row>
    <row r="657">
      <c r="A657" s="88" t="str">
        <f>IFERROR(__xludf.DUMMYFUNCTION("""COMPUTED_VALUE"""),"SLVR")</f>
        <v>SLVR</v>
      </c>
      <c r="B657" s="55" t="str">
        <f>IFERROR(__xludf.DUMMYFUNCTION("""COMPUTED_VALUE"""),"SilverSPAC Inc.")</f>
        <v>SilverSPAC Inc.</v>
      </c>
      <c r="C657" s="56" t="str">
        <f>IFERROR(__xludf.DUMMYFUNCTION("""COMPUTED_VALUE"""),"Pre IPO")</f>
        <v>Pre IPO</v>
      </c>
      <c r="D657" s="77" t="str">
        <f>IFERROR(__xludf.DUMMYFUNCTION("""COMPUTED_VALUE"""),"Fintech, PropTech")</f>
        <v>Fintech, PropTech</v>
      </c>
      <c r="E657" s="58"/>
      <c r="F657" s="59"/>
      <c r="G657" s="60">
        <f>IFERROR(__xludf.DUMMYFUNCTION("""COMPUTED_VALUE"""),2.5E8)</f>
        <v>250000000</v>
      </c>
      <c r="H657" s="60" t="str">
        <f>IFERROR(__xludf.DUMMYFUNCTION("""COMPUTED_VALUE""")," ")</f>
        <v> </v>
      </c>
      <c r="I657" s="66" t="str">
        <f>IFERROR(__xludf.DUMMYFUNCTION("""COMPUTED_VALUE""")," ")</f>
        <v> </v>
      </c>
      <c r="J657" s="62" t="str">
        <f>IFERROR(__xludf.DUMMYFUNCTION("""COMPUTED_VALUE""")," ")</f>
        <v> </v>
      </c>
      <c r="K657" s="59" t="str">
        <f>IFERROR(__xludf.DUMMYFUNCTION("""COMPUTED_VALUE""")," ")</f>
        <v> </v>
      </c>
      <c r="L657" s="87" t="str">
        <f>IFERROR(__xludf.DUMMYFUNCTION("""COMPUTED_VALUE""")," ")</f>
        <v> </v>
      </c>
      <c r="M657" s="64" t="str">
        <f>IFERROR(__xludf.DUMMYFUNCTION("""COMPUTED_VALUE"""),"U: [1/3 W]; W: [1:1, $11.5]")</f>
        <v>U: [1/3 W]; W: [1:1, $11.5]</v>
      </c>
      <c r="N657" s="65" t="str">
        <f>IFERROR(__xludf.DUMMYFUNCTION("""COMPUTED_VALUE"""),"")</f>
        <v/>
      </c>
      <c r="O657" s="66" t="str">
        <f>IFERROR(__xludf.DUMMYFUNCTION("""COMPUTED_VALUE"""),"")</f>
        <v/>
      </c>
      <c r="P657" s="67"/>
      <c r="Q657" s="68">
        <f>IFERROR(__xludf.DUMMYFUNCTION("""COMPUTED_VALUE"""),250.0)</f>
        <v>250</v>
      </c>
      <c r="R657" s="69" t="str">
        <f>IFERROR(__xludf.DUMMYFUNCTION("""COMPUTED_VALUE"""),"Goldman Sachs &amp; Co. LLC, Citigroup")</f>
        <v>Goldman Sachs &amp; Co. LLC, Citigroup</v>
      </c>
      <c r="S657" s="64">
        <f>IFERROR(__xludf.DUMMYFUNCTION("""COMPUTED_VALUE"""),45086.0)</f>
        <v>45086</v>
      </c>
      <c r="T657" s="70" t="str">
        <f>IFERROR(__xludf.DUMMYFUNCTION("""COMPUTED_VALUE"""),"")</f>
        <v/>
      </c>
      <c r="U657" s="71" t="str">
        <f>IFERROR(__xludf.DUMMYFUNCTION("""COMPUTED_VALUE"""),"https://www.sec.gov/cgi-bin/browse-edgar?CIK=1842644")</f>
        <v>https://www.sec.gov/cgi-bin/browse-edgar?CIK=1842644</v>
      </c>
      <c r="V657" s="72" t="str">
        <f>IFERROR(__xludf.DUMMYFUNCTION("""COMPUTED_VALUE"""),"Venture Capital           Top Tier UW ")</f>
        <v>Venture Capital           Top Tier UW </v>
      </c>
      <c r="W657" s="73"/>
      <c r="X657" s="74"/>
      <c r="Y657" s="75"/>
      <c r="Z657" s="60"/>
      <c r="AA657" s="60"/>
      <c r="AB657" s="60"/>
      <c r="AC657" s="60"/>
      <c r="AD657" s="73"/>
      <c r="AE657" s="73"/>
      <c r="AF657" s="76"/>
      <c r="AG657" s="60"/>
    </row>
    <row r="658">
      <c r="A658" s="88" t="str">
        <f>IFERROR(__xludf.DUMMYFUNCTION("""COMPUTED_VALUE"""),"SNII")</f>
        <v>SNII</v>
      </c>
      <c r="B658" s="55" t="str">
        <f>IFERROR(__xludf.DUMMYFUNCTION("""COMPUTED_VALUE"""),"Supernova Partners Acquisition Co II, Ltd.")</f>
        <v>Supernova Partners Acquisition Co II, Ltd.</v>
      </c>
      <c r="C658" s="56" t="str">
        <f>IFERROR(__xludf.DUMMYFUNCTION("""COMPUTED_VALUE"""),"Searching (Pre Unit Split)")</f>
        <v>Searching (Pre Unit Split)</v>
      </c>
      <c r="D658" s="57" t="str">
        <f>IFERROR(__xludf.DUMMYFUNCTION("""COMPUTED_VALUE"""),"Tech (Enterprise)")</f>
        <v>Tech (Enterprise)</v>
      </c>
      <c r="E658" s="58"/>
      <c r="F658" s="59" t="str">
        <f>IFERROR(__xludf.DUMMYFUNCTION("""COMPUTED_VALUE"""),"Spencer Rascoff (Co-founder/ Fmr CEO, Zillow, Co-founder, Hotwire; Director, Palantir), Alexander Klabin (Co-founder, Senator Investment Group; Exec Chairman, Sotheby’s Financial Services)")</f>
        <v>Spencer Rascoff (Co-founder/ Fmr CEO, Zillow, Co-founder, Hotwire; Director, Palantir), Alexander Klabin (Co-founder, Senator Investment Group; Exec Chairman, Sotheby’s Financial Services)</v>
      </c>
      <c r="G658" s="60">
        <f>IFERROR(__xludf.DUMMYFUNCTION("""COMPUTED_VALUE"""),3.45E8)</f>
        <v>345000000</v>
      </c>
      <c r="H658" s="60" t="str">
        <f>IFERROR(__xludf.DUMMYFUNCTION("""COMPUTED_VALUE""")," ")</f>
        <v> </v>
      </c>
      <c r="I658" s="66" t="str">
        <f>IFERROR(__xludf.DUMMYFUNCTION("""COMPUTED_VALUE""")," ")</f>
        <v> </v>
      </c>
      <c r="J658" s="62" t="str">
        <f>IFERROR(__xludf.DUMMYFUNCTION("""COMPUTED_VALUE""")," ")</f>
        <v> </v>
      </c>
      <c r="K658" s="59">
        <f>IFERROR(__xludf.DUMMYFUNCTION("""COMPUTED_VALUE"""),10.15)</f>
        <v>10.15</v>
      </c>
      <c r="L658" s="87" t="str">
        <f>IFERROR(__xludf.DUMMYFUNCTION("""COMPUTED_VALUE""")," ")</f>
        <v> </v>
      </c>
      <c r="M658" s="64" t="str">
        <f>IFERROR(__xludf.DUMMYFUNCTION("""COMPUTED_VALUE"""),"U: [1/4 W]; W: [1:1, $11.5]")</f>
        <v>U: [1/4 W]; W: [1:1, $11.5]</v>
      </c>
      <c r="N658" s="65">
        <f>IFERROR(__xludf.DUMMYFUNCTION("""COMPUTED_VALUE"""),44308.0)</f>
        <v>44308</v>
      </c>
      <c r="O658" s="66" t="str">
        <f>IFERROR(__xludf.DUMMYFUNCTION("""COMPUTED_VALUE"""),"")</f>
        <v/>
      </c>
      <c r="P658" s="67">
        <f>IFERROR(__xludf.DUMMYFUNCTION("""COMPUTED_VALUE"""),44256.0)</f>
        <v>44256</v>
      </c>
      <c r="Q658" s="68">
        <f>IFERROR(__xludf.DUMMYFUNCTION("""COMPUTED_VALUE"""),345.0)</f>
        <v>345</v>
      </c>
      <c r="R658" s="69" t="str">
        <f>IFERROR(__xludf.DUMMYFUNCTION("""COMPUTED_VALUE"""),"J.P. Morgan")</f>
        <v>J.P. Morgan</v>
      </c>
      <c r="S658" s="64">
        <f>IFERROR(__xludf.DUMMYFUNCTION("""COMPUTED_VALUE"""),44986.0)</f>
        <v>44986</v>
      </c>
      <c r="T658" s="70">
        <f>IFERROR(__xludf.DUMMYFUNCTION("""COMPUTED_VALUE"""),0.0547945205479452)</f>
        <v>0.05479452055</v>
      </c>
      <c r="U658" s="71" t="str">
        <f>IFERROR(__xludf.DUMMYFUNCTION("""COMPUTED_VALUE"""),"https://www.sec.gov/cgi-bin/browse-edgar?CIK=1838359")</f>
        <v>https://www.sec.gov/cgi-bin/browse-edgar?CIK=1838359</v>
      </c>
      <c r="V658" s="72" t="str">
        <f>IFERROR(__xludf.DUMMYFUNCTION("""COMPUTED_VALUE"""),"         Well-known Sponsor Serial Sponsor  ")</f>
        <v>         Well-known Sponsor Serial Sponsor  </v>
      </c>
      <c r="W658" s="73"/>
      <c r="X658" s="74"/>
      <c r="Y658" s="75"/>
      <c r="Z658" s="60"/>
      <c r="AA658" s="60"/>
      <c r="AB658" s="60"/>
      <c r="AC658" s="60"/>
      <c r="AD658" s="73"/>
      <c r="AE658" s="73"/>
      <c r="AF658" s="76"/>
      <c r="AG658" s="60"/>
    </row>
    <row r="659">
      <c r="A659" s="54" t="str">
        <f>IFERROR(__xludf.DUMMYFUNCTION("""COMPUTED_VALUE"""),"SNPR")</f>
        <v>SNPR</v>
      </c>
      <c r="B659" s="55" t="str">
        <f>IFERROR(__xludf.DUMMYFUNCTION("""COMPUTED_VALUE"""),"Tortoise Acquisition Corp. II")</f>
        <v>Tortoise Acquisition Corp. II</v>
      </c>
      <c r="C659" s="56" t="str">
        <f>IFERROR(__xludf.DUMMYFUNCTION("""COMPUTED_VALUE"""),"Definitive Agreement")</f>
        <v>Definitive Agreement</v>
      </c>
      <c r="D659" s="57" t="str">
        <f>IFERROR(__xludf.DUMMYFUNCTION("""COMPUTED_VALUE"""),"Energy transition, Sustainability (Decarbonization/ Emission Reduction)")</f>
        <v>Energy transition, Sustainability (Decarbonization/ Emission Reduction)</v>
      </c>
      <c r="E659" s="58" t="str">
        <f>IFERROR(__xludf.DUMMYFUNCTION("""COMPUTED_VALUE"""),"Volta Industries [DA: 02/08/21]")</f>
        <v>Volta Industries [DA: 02/08/21]</v>
      </c>
      <c r="F659" s="59" t="str">
        <f>IFERROR(__xludf.DUMMYFUNCTION("""COMPUTED_VALUE"""),"Vincent T. Cubbage (Tortoise Capital Advisors)")</f>
        <v>Vincent T. Cubbage (Tortoise Capital Advisors)</v>
      </c>
      <c r="G659" s="60">
        <f>IFERROR(__xludf.DUMMYFUNCTION("""COMPUTED_VALUE"""),3.45E8)</f>
        <v>345000000</v>
      </c>
      <c r="H659" s="60">
        <f>IFERROR(__xludf.DUMMYFUNCTION("""COMPUTED_VALUE"""),3.61905E8)</f>
        <v>361905000</v>
      </c>
      <c r="I659" s="66">
        <f>IFERROR(__xludf.DUMMYFUNCTION("""COMPUTED_VALUE"""),10.49)</f>
        <v>10.49</v>
      </c>
      <c r="J659" s="62">
        <f>IFERROR(__xludf.DUMMYFUNCTION("""COMPUTED_VALUE"""),-0.0019)</f>
        <v>-0.0019</v>
      </c>
      <c r="K659" s="59">
        <f>IFERROR(__xludf.DUMMYFUNCTION("""COMPUTED_VALUE"""),11.1)</f>
        <v>11.1</v>
      </c>
      <c r="L659" s="87">
        <f>IFERROR(__xludf.DUMMYFUNCTION("""COMPUTED_VALUE"""),2.66)</f>
        <v>2.66</v>
      </c>
      <c r="M659" s="64" t="str">
        <f>IFERROR(__xludf.DUMMYFUNCTION("""COMPUTED_VALUE"""),"U: [1/4 W]; W: [1:1, $11.5]")</f>
        <v>U: [1/4 W]; W: [1:1, $11.5]</v>
      </c>
      <c r="N659" s="65" t="str">
        <f>IFERROR(__xludf.DUMMYFUNCTION("""COMPUTED_VALUE"""),"")</f>
        <v/>
      </c>
      <c r="O659" s="66">
        <f>IFERROR(__xludf.DUMMYFUNCTION("""COMPUTED_VALUE"""),0.0)</f>
        <v>0</v>
      </c>
      <c r="P659" s="67">
        <f>IFERROR(__xludf.DUMMYFUNCTION("""COMPUTED_VALUE"""),44085.0)</f>
        <v>44085</v>
      </c>
      <c r="Q659" s="68">
        <f>IFERROR(__xludf.DUMMYFUNCTION("""COMPUTED_VALUE"""),345.0)</f>
        <v>345</v>
      </c>
      <c r="R659" s="69" t="str">
        <f>IFERROR(__xludf.DUMMYFUNCTION("""COMPUTED_VALUE"""),"Barclays, Goldman Sachs")</f>
        <v>Barclays, Goldman Sachs</v>
      </c>
      <c r="S659" s="64">
        <f>IFERROR(__xludf.DUMMYFUNCTION("""COMPUTED_VALUE"""),44815.0)</f>
        <v>44815</v>
      </c>
      <c r="T659" s="70">
        <f>IFERROR(__xludf.DUMMYFUNCTION("""COMPUTED_VALUE"""),0.28904109589041094)</f>
        <v>0.2890410959</v>
      </c>
      <c r="U659" s="71" t="str">
        <f>IFERROR(__xludf.DUMMYFUNCTION("""COMPUTED_VALUE"""),"https://www.sec.gov/cgi-bin/browse-edgar?CIK=1819584")</f>
        <v>https://www.sec.gov/cgi-bin/browse-edgar?CIK=1819584</v>
      </c>
      <c r="V659" s="72" t="str">
        <f>IFERROR(__xludf.DUMMYFUNCTION("""COMPUTED_VALUE"""),"Sustainability, E.V.     Optionable      Top Tier UW ")</f>
        <v>Sustainability, E.V.     Optionable      Top Tier UW </v>
      </c>
      <c r="W659" s="73">
        <f>IFERROR(__xludf.DUMMYFUNCTION("""COMPUTED_VALUE"""),44235.0)</f>
        <v>44235</v>
      </c>
      <c r="X659" s="79">
        <f>IFERROR(__xludf.DUMMYFUNCTION("""COMPUTED_VALUE"""),5.0)</f>
        <v>5</v>
      </c>
      <c r="Y659" s="80" t="str">
        <f>IFERROR(__xludf.DUMMYFUNCTION("""COMPUTED_VALUE"""),"https://www.prnewswire.com/news-releases/volta-industries-inc-and-tortoise-acquisition-corp-ii-announce-planned-merger-combined-company-to-remain-on-the-nyse-301223843.html")</f>
        <v>https://www.prnewswire.com/news-releases/volta-industries-inc-and-tortoise-acquisition-corp-ii-announce-planned-merger-combined-company-to-remain-on-the-nyse-301223843.html</v>
      </c>
      <c r="Z659" s="81" t="str">
        <f>IFERROR(__xludf.DUMMYFUNCTION("""COMPUTED_VALUE"""),"https://www.sec.gov/Archives/edgar/data/1819584/000121390021007256/ea134805ex99-3_tortoiseacq2.htm")</f>
        <v>https://www.sec.gov/Archives/edgar/data/1819584/000121390021007256/ea134805ex99-3_tortoiseacq2.htm</v>
      </c>
      <c r="AA659" s="60">
        <f>IFERROR(__xludf.DUMMYFUNCTION("""COMPUTED_VALUE"""),3.0E8)</f>
        <v>300000000</v>
      </c>
      <c r="AB659" s="60">
        <f>IFERROR(__xludf.DUMMYFUNCTION("""COMPUTED_VALUE"""),2.031E9)</f>
        <v>2031000000</v>
      </c>
      <c r="AC659" s="60">
        <f>IFERROR(__xludf.DUMMYFUNCTION("""COMPUTED_VALUE"""),1.422E9)</f>
        <v>1422000000</v>
      </c>
      <c r="AD659" s="73"/>
      <c r="AE659" s="73"/>
      <c r="AF659" s="76">
        <f>IFERROR(__xludf.DUMMYFUNCTION("""COMPUTED_VALUE"""),2.031E8)</f>
        <v>203100000</v>
      </c>
      <c r="AG659" s="60">
        <f>IFERROR(__xludf.DUMMYFUNCTION("""COMPUTED_VALUE"""),2.130519E9)</f>
        <v>2130519000</v>
      </c>
    </row>
    <row r="660">
      <c r="A660" s="54" t="str">
        <f>IFERROR(__xludf.DUMMYFUNCTION("""COMPUTED_VALUE"""),"SNRH")</f>
        <v>SNRH</v>
      </c>
      <c r="B660" s="55" t="str">
        <f>IFERROR(__xludf.DUMMYFUNCTION("""COMPUTED_VALUE"""),"Senior Connect Acquisition Corp. I")</f>
        <v>Senior Connect Acquisition Corp. I</v>
      </c>
      <c r="C660" s="56" t="str">
        <f>IFERROR(__xludf.DUMMYFUNCTION("""COMPUTED_VALUE"""),"Searching")</f>
        <v>Searching</v>
      </c>
      <c r="D660" s="57" t="str">
        <f>IFERROR(__xludf.DUMMYFUNCTION("""COMPUTED_VALUE"""),"Senior Healthcare")</f>
        <v>Senior Healthcare</v>
      </c>
      <c r="E660" s="58"/>
      <c r="F660" s="59" t="str">
        <f>IFERROR(__xludf.DUMMYFUNCTION("""COMPUTED_VALUE"""),"Richard Burke (Founder/Fmr CEO, UnitedHealth), Jeffrey Leerink (CEO, SVB Leerink), Isaac “Yitz” Applbaum (Co-founder/Partner, MizMaa; Fmr Partner, Lightspeed Venture Partners)")</f>
        <v>Richard Burke (Founder/Fmr CEO, UnitedHealth), Jeffrey Leerink (CEO, SVB Leerink), Isaac “Yitz” Applbaum (Co-founder/Partner, MizMaa; Fmr Partner, Lightspeed Venture Partners)</v>
      </c>
      <c r="G660" s="60">
        <f>IFERROR(__xludf.DUMMYFUNCTION("""COMPUTED_VALUE"""),4.14001702E8)</f>
        <v>414001702</v>
      </c>
      <c r="H660" s="60">
        <f>IFERROR(__xludf.DUMMYFUNCTION("""COMPUTED_VALUE"""),4.1193E8)</f>
        <v>411930000</v>
      </c>
      <c r="I660" s="66">
        <f>IFERROR(__xludf.DUMMYFUNCTION("""COMPUTED_VALUE"""),9.95)</f>
        <v>9.95</v>
      </c>
      <c r="J660" s="62">
        <f>IFERROR(__xludf.DUMMYFUNCTION("""COMPUTED_VALUE"""),0.00201)</f>
        <v>0.00201</v>
      </c>
      <c r="K660" s="59">
        <f>IFERROR(__xludf.DUMMYFUNCTION("""COMPUTED_VALUE"""),10.3)</f>
        <v>10.3</v>
      </c>
      <c r="L660" s="87">
        <f>IFERROR(__xludf.DUMMYFUNCTION("""COMPUTED_VALUE"""),0.87)</f>
        <v>0.87</v>
      </c>
      <c r="M660" s="64" t="str">
        <f>IFERROR(__xludf.DUMMYFUNCTION("""COMPUTED_VALUE"""),"U: [1/2 W]; W: [1:1, $11.5]")</f>
        <v>U: [1/2 W]; W: [1:1, $11.5]</v>
      </c>
      <c r="N660" s="65" t="str">
        <f>IFERROR(__xludf.DUMMYFUNCTION("""COMPUTED_VALUE"""),"")</f>
        <v/>
      </c>
      <c r="O660" s="66">
        <f>IFERROR(__xludf.DUMMYFUNCTION("""COMPUTED_VALUE"""),0.0)</f>
        <v>0</v>
      </c>
      <c r="P660" s="67">
        <f>IFERROR(__xludf.DUMMYFUNCTION("""COMPUTED_VALUE"""),44175.0)</f>
        <v>44175</v>
      </c>
      <c r="Q660" s="68">
        <f>IFERROR(__xludf.DUMMYFUNCTION("""COMPUTED_VALUE"""),414.0)</f>
        <v>414</v>
      </c>
      <c r="R660" s="69" t="str">
        <f>IFERROR(__xludf.DUMMYFUNCTION("""COMPUTED_VALUE"""),"Citigroup")</f>
        <v>Citigroup</v>
      </c>
      <c r="S660" s="64">
        <f>IFERROR(__xludf.DUMMYFUNCTION("""COMPUTED_VALUE"""),44905.0)</f>
        <v>44905</v>
      </c>
      <c r="T660" s="70">
        <f>IFERROR(__xludf.DUMMYFUNCTION("""COMPUTED_VALUE"""),0.16575342465753426)</f>
        <v>0.1657534247</v>
      </c>
      <c r="U660" s="71" t="str">
        <f>IFERROR(__xludf.DUMMYFUNCTION("""COMPUTED_VALUE"""),"https://www.sec.gov/cgi-bin/browse-edgar?CIK=1823854")</f>
        <v>https://www.sec.gov/cgi-bin/browse-edgar?CIK=1823854</v>
      </c>
      <c r="V660" s="72" t="str">
        <f>IFERROR(__xludf.DUMMYFUNCTION("""COMPUTED_VALUE""")," Trading Below $10 (Common)          Top Tier UW ")</f>
        <v> Trading Below $10 (Common)          Top Tier UW </v>
      </c>
      <c r="W660" s="73"/>
      <c r="X660" s="74"/>
      <c r="Y660" s="75"/>
      <c r="Z660" s="60"/>
      <c r="AA660" s="60"/>
      <c r="AB660" s="60"/>
      <c r="AC660" s="60"/>
      <c r="AD660" s="73"/>
      <c r="AE660" s="73"/>
      <c r="AF660" s="76"/>
      <c r="AG660" s="60" t="str">
        <f>IFERROR(__xludf.DUMMYFUNCTION("""COMPUTED_VALUE"""),"")</f>
        <v/>
      </c>
    </row>
    <row r="661">
      <c r="A661" s="54" t="str">
        <f>IFERROR(__xludf.DUMMYFUNCTION("""COMPUTED_VALUE"""),"SOAC")</f>
        <v>SOAC</v>
      </c>
      <c r="B661" s="55" t="str">
        <f>IFERROR(__xludf.DUMMYFUNCTION("""COMPUTED_VALUE"""),"Sustainable Opportunities Acquisition Corp")</f>
        <v>Sustainable Opportunities Acquisition Corp</v>
      </c>
      <c r="C661" s="56" t="str">
        <f>IFERROR(__xludf.DUMMYFUNCTION("""COMPUTED_VALUE"""),"Definitive Agreement")</f>
        <v>Definitive Agreement</v>
      </c>
      <c r="D661" s="57" t="str">
        <f>IFERROR(__xludf.DUMMYFUNCTION("""COMPUTED_VALUE"""),"Sustainability")</f>
        <v>Sustainability</v>
      </c>
      <c r="E661" s="58" t="str">
        <f>IFERROR(__xludf.DUMMYFUNCTION("""COMPUTED_VALUE"""),"DeepGreen Metals [DA: 03/04/21]")</f>
        <v>DeepGreen Metals [DA: 03/04/21]</v>
      </c>
      <c r="F661" s="59"/>
      <c r="G661" s="60">
        <f>IFERROR(__xludf.DUMMYFUNCTION("""COMPUTED_VALUE"""),3.00069135E8)</f>
        <v>300069135</v>
      </c>
      <c r="H661" s="60">
        <f>IFERROR(__xludf.DUMMYFUNCTION("""COMPUTED_VALUE"""),2.994E8)</f>
        <v>299400000</v>
      </c>
      <c r="I661" s="66">
        <f>IFERROR(__xludf.DUMMYFUNCTION("""COMPUTED_VALUE"""),9.98)</f>
        <v>9.98</v>
      </c>
      <c r="J661" s="62">
        <f>IFERROR(__xludf.DUMMYFUNCTION("""COMPUTED_VALUE"""),0.00302)</f>
        <v>0.00302</v>
      </c>
      <c r="K661" s="59">
        <f>IFERROR(__xludf.DUMMYFUNCTION("""COMPUTED_VALUE"""),10.6)</f>
        <v>10.6</v>
      </c>
      <c r="L661" s="87">
        <f>IFERROR(__xludf.DUMMYFUNCTION("""COMPUTED_VALUE"""),1.24)</f>
        <v>1.24</v>
      </c>
      <c r="M661" s="64" t="str">
        <f>IFERROR(__xludf.DUMMYFUNCTION("""COMPUTED_VALUE"""),"U: [1/2 W]; W: [1:1, $11.5]")</f>
        <v>U: [1/2 W]; W: [1:1, $11.5]</v>
      </c>
      <c r="N661" s="65" t="str">
        <f>IFERROR(__xludf.DUMMYFUNCTION("""COMPUTED_VALUE"""),"")</f>
        <v/>
      </c>
      <c r="O661" s="66">
        <f>IFERROR(__xludf.DUMMYFUNCTION("""COMPUTED_VALUE"""),0.0)</f>
        <v>0</v>
      </c>
      <c r="P661" s="67">
        <f>IFERROR(__xludf.DUMMYFUNCTION("""COMPUTED_VALUE"""),43957.0)</f>
        <v>43957</v>
      </c>
      <c r="Q661" s="68">
        <f>IFERROR(__xludf.DUMMYFUNCTION("""COMPUTED_VALUE"""),300.0)</f>
        <v>300</v>
      </c>
      <c r="R661" s="69" t="str">
        <f>IFERROR(__xludf.DUMMYFUNCTION("""COMPUTED_VALUE"""),"Citigroup")</f>
        <v>Citigroup</v>
      </c>
      <c r="S661" s="64">
        <f>IFERROR(__xludf.DUMMYFUNCTION("""COMPUTED_VALUE"""),44504.5)</f>
        <v>44504.5</v>
      </c>
      <c r="T661" s="70">
        <f>IFERROR(__xludf.DUMMYFUNCTION("""COMPUTED_VALUE"""),0.6191780821917808)</f>
        <v>0.6191780822</v>
      </c>
      <c r="U661" s="71" t="str">
        <f>IFERROR(__xludf.DUMMYFUNCTION("""COMPUTED_VALUE"""),"https://www.sec.gov/cgi-bin/browse-edgar?CIK=1798562")</f>
        <v>https://www.sec.gov/cgi-bin/browse-edgar?CIK=1798562</v>
      </c>
      <c r="V661" s="72" t="str">
        <f>IFERROR(__xludf.DUMMYFUNCTION("""COMPUTED_VALUE"""),"Sustainability Trading Below $10 (Common)    Optionable      Top Tier UW ")</f>
        <v>Sustainability Trading Below $10 (Common)    Optionable      Top Tier UW </v>
      </c>
      <c r="W661" s="73">
        <f>IFERROR(__xludf.DUMMYFUNCTION("""COMPUTED_VALUE"""),44259.0)</f>
        <v>44259</v>
      </c>
      <c r="X661" s="79">
        <f>IFERROR(__xludf.DUMMYFUNCTION("""COMPUTED_VALUE"""),10.066666666666666)</f>
        <v>10.06666667</v>
      </c>
      <c r="Y661" s="80" t="str">
        <f>IFERROR(__xludf.DUMMYFUNCTION("""COMPUTED_VALUE"""),"https://www.businesswire.com/news/home/20210304005510/en/DeepGreen-Developer-of-the-Worlds-Largest-Estimated-Resource-of-Battery-Metals-for-EVs-to-Combine-with-Sustainable-Opportunities-Acquisition-Corporation#.YEDOsvwamRs.twitter")</f>
        <v>https://www.businesswire.com/news/home/20210304005510/en/DeepGreen-Developer-of-the-Worlds-Largest-Estimated-Resource-of-Battery-Metals-for-EVs-to-Combine-with-Sustainable-Opportunities-Acquisition-Corporation#.YEDOsvwamRs.twitter</v>
      </c>
      <c r="Z661" s="81" t="str">
        <f>IFERROR(__xludf.DUMMYFUNCTION("""COMPUTED_VALUE"""),"https://www.sec.gov/Archives/edgar/data/1798562/000121390021013347/ea137001ex99-2_sustainable.htm")</f>
        <v>https://www.sec.gov/Archives/edgar/data/1798562/000121390021013347/ea137001ex99-2_sustainable.htm</v>
      </c>
      <c r="AA661" s="60">
        <f>IFERROR(__xludf.DUMMYFUNCTION("""COMPUTED_VALUE"""),3.3E8)</f>
        <v>330000000</v>
      </c>
      <c r="AB661" s="60">
        <f>IFERROR(__xludf.DUMMYFUNCTION("""COMPUTED_VALUE"""),2.948E9)</f>
        <v>2948000000</v>
      </c>
      <c r="AC661" s="60">
        <f>IFERROR(__xludf.DUMMYFUNCTION("""COMPUTED_VALUE"""),2.378E9)</f>
        <v>2378000000</v>
      </c>
      <c r="AD661" s="73"/>
      <c r="AE661" s="73"/>
      <c r="AF661" s="76">
        <f>IFERROR(__xludf.DUMMYFUNCTION("""COMPUTED_VALUE"""),2.948E8)</f>
        <v>294800000</v>
      </c>
      <c r="AG661" s="60">
        <f>IFERROR(__xludf.DUMMYFUNCTION("""COMPUTED_VALUE"""),2.942104E9)</f>
        <v>2942104000</v>
      </c>
    </row>
    <row r="662">
      <c r="A662" s="54" t="str">
        <f>IFERROR(__xludf.DUMMYFUNCTION("""COMPUTED_VALUE"""),"SPAQ")</f>
        <v>SPAQ</v>
      </c>
      <c r="B662" s="55" t="str">
        <f>IFERROR(__xludf.DUMMYFUNCTION("""COMPUTED_VALUE"""),"Spartan Acquisition Corp. III")</f>
        <v>Spartan Acquisition Corp. III</v>
      </c>
      <c r="C662" s="56" t="str">
        <f>IFERROR(__xludf.DUMMYFUNCTION("""COMPUTED_VALUE"""),"Searching")</f>
        <v>Searching</v>
      </c>
      <c r="D662" s="57" t="str">
        <f>IFERROR(__xludf.DUMMYFUNCTION("""COMPUTED_VALUE"""),"Energy Transition, Sustainability")</f>
        <v>Energy Transition, Sustainability</v>
      </c>
      <c r="E662" s="58"/>
      <c r="F662" s="59" t="str">
        <f>IFERROR(__xludf.DUMMYFUNCTION("""COMPUTED_VALUE"""),"Apollo")</f>
        <v>Apollo</v>
      </c>
      <c r="G662" s="60">
        <f>IFERROR(__xludf.DUMMYFUNCTION("""COMPUTED_VALUE"""),5.52E8)</f>
        <v>552000000</v>
      </c>
      <c r="H662" s="60"/>
      <c r="I662" s="66">
        <f>IFERROR(__xludf.DUMMYFUNCTION("""COMPUTED_VALUE"""),9.8999)</f>
        <v>9.8999</v>
      </c>
      <c r="J662" s="62">
        <f>IFERROR(__xludf.DUMMYFUNCTION("""COMPUTED_VALUE"""),-1.0E-5)</f>
        <v>-0.00001</v>
      </c>
      <c r="K662" s="59">
        <f>IFERROR(__xludf.DUMMYFUNCTION("""COMPUTED_VALUE"""),10.1475)</f>
        <v>10.1475</v>
      </c>
      <c r="L662" s="87">
        <f>IFERROR(__xludf.DUMMYFUNCTION("""COMPUTED_VALUE"""),1.12)</f>
        <v>1.12</v>
      </c>
      <c r="M662" s="64" t="str">
        <f>IFERROR(__xludf.DUMMYFUNCTION("""COMPUTED_VALUE"""),"U: [1/4 W]; W: [1:1, $11.5]")</f>
        <v>U: [1/4 W]; W: [1:1, $11.5]</v>
      </c>
      <c r="N662" s="65" t="str">
        <f>IFERROR(__xludf.DUMMYFUNCTION("""COMPUTED_VALUE"""),"")</f>
        <v/>
      </c>
      <c r="O662" s="66">
        <f>IFERROR(__xludf.DUMMYFUNCTION("""COMPUTED_VALUE"""),0.0)</f>
        <v>0</v>
      </c>
      <c r="P662" s="67">
        <f>IFERROR(__xludf.DUMMYFUNCTION("""COMPUTED_VALUE"""),44235.0)</f>
        <v>44235</v>
      </c>
      <c r="Q662" s="68">
        <f>IFERROR(__xludf.DUMMYFUNCTION("""COMPUTED_VALUE"""),552.0)</f>
        <v>552</v>
      </c>
      <c r="R662" s="69" t="str">
        <f>IFERROR(__xludf.DUMMYFUNCTION("""COMPUTED_VALUE"""),"Credit Suisse, Citigroup, Cowen, Morgan Stanley, Barclays, RBC Capital Markets")</f>
        <v>Credit Suisse, Citigroup, Cowen, Morgan Stanley, Barclays, RBC Capital Markets</v>
      </c>
      <c r="S662" s="64">
        <f>IFERROR(__xludf.DUMMYFUNCTION("""COMPUTED_VALUE"""),44965.0)</f>
        <v>44965</v>
      </c>
      <c r="T662" s="70">
        <f>IFERROR(__xludf.DUMMYFUNCTION("""COMPUTED_VALUE"""),0.08356164383561644)</f>
        <v>0.08356164384</v>
      </c>
      <c r="U662" s="71" t="str">
        <f>IFERROR(__xludf.DUMMYFUNCTION("""COMPUTED_VALUE"""),"https://www.sec.gov/cgi-bin/browse-edgar?CIK=1838527")</f>
        <v>https://www.sec.gov/cgi-bin/browse-edgar?CIK=1838527</v>
      </c>
      <c r="V662" s="72" t="str">
        <f>IFERROR(__xludf.DUMMYFUNCTION("""COMPUTED_VALUE""")," Trading Below $10 (Common)  $500M+ Trust     Well-known Sponsor Serial Sponsor Top Tier UW ")</f>
        <v> Trading Below $10 (Common)  $500M+ Trust     Well-known Sponsor Serial Sponsor Top Tier UW </v>
      </c>
      <c r="W662" s="73"/>
      <c r="X662" s="74"/>
      <c r="Y662" s="75"/>
      <c r="Z662" s="60"/>
      <c r="AA662" s="60"/>
      <c r="AB662" s="60"/>
      <c r="AC662" s="60"/>
      <c r="AD662" s="73"/>
      <c r="AE662" s="73"/>
      <c r="AF662" s="76"/>
      <c r="AG662" s="60" t="str">
        <f>IFERROR(__xludf.DUMMYFUNCTION("""COMPUTED_VALUE"""),"")</f>
        <v/>
      </c>
    </row>
    <row r="663">
      <c r="A663" s="54" t="str">
        <f>IFERROR(__xludf.DUMMYFUNCTION("""COMPUTED_VALUE"""),"SPFR")</f>
        <v>SPFR</v>
      </c>
      <c r="B663" s="55" t="str">
        <f>IFERROR(__xludf.DUMMYFUNCTION("""COMPUTED_VALUE"""),"Jaws Spitfire Acquisition Corporation")</f>
        <v>Jaws Spitfire Acquisition Corporation</v>
      </c>
      <c r="C663" s="56" t="str">
        <f>IFERROR(__xludf.DUMMYFUNCTION("""COMPUTED_VALUE"""),"Definitive Agreement")</f>
        <v>Definitive Agreement</v>
      </c>
      <c r="D663" s="57" t="str">
        <f>IFERROR(__xludf.DUMMYFUNCTION("""COMPUTED_VALUE"""),"Consumer Tech, Other Tech")</f>
        <v>Consumer Tech, Other Tech</v>
      </c>
      <c r="E663" s="58" t="str">
        <f>IFERROR(__xludf.DUMMYFUNCTION("""COMPUTED_VALUE"""),"VELO3D [DA: 03/23/21]")</f>
        <v>VELO3D [DA: 03/23/21]</v>
      </c>
      <c r="F663" s="59" t="str">
        <f>IFERROR(__xludf.DUMMYFUNCTION("""COMPUTED_VALUE"""),"Barry Sternlicht (Chairman and CEO of Starwood Capital Group), Serena Williams")</f>
        <v>Barry Sternlicht (Chairman and CEO of Starwood Capital Group), Serena Williams</v>
      </c>
      <c r="G663" s="60">
        <f>IFERROR(__xludf.DUMMYFUNCTION("""COMPUTED_VALUE"""),3.45E8)</f>
        <v>345000000</v>
      </c>
      <c r="H663" s="60">
        <f>IFERROR(__xludf.DUMMYFUNCTION("""COMPUTED_VALUE"""),3.6915E8)</f>
        <v>369150000</v>
      </c>
      <c r="I663" s="66">
        <f>IFERROR(__xludf.DUMMYFUNCTION("""COMPUTED_VALUE"""),10.7)</f>
        <v>10.7</v>
      </c>
      <c r="J663" s="62">
        <f>IFERROR(__xludf.DUMMYFUNCTION("""COMPUTED_VALUE"""),9.4E-4)</f>
        <v>0.00094</v>
      </c>
      <c r="K663" s="59">
        <f>IFERROR(__xludf.DUMMYFUNCTION("""COMPUTED_VALUE"""),11.28)</f>
        <v>11.28</v>
      </c>
      <c r="L663" s="87">
        <f>IFERROR(__xludf.DUMMYFUNCTION("""COMPUTED_VALUE"""),1.98)</f>
        <v>1.98</v>
      </c>
      <c r="M663" s="64" t="str">
        <f>IFERROR(__xludf.DUMMYFUNCTION("""COMPUTED_VALUE"""),"U: [1/4 W]; W: [1:1, $11.5]")</f>
        <v>U: [1/4 W]; W: [1:1, $11.5]</v>
      </c>
      <c r="N663" s="65" t="str">
        <f>IFERROR(__xludf.DUMMYFUNCTION("""COMPUTED_VALUE"""),"")</f>
        <v/>
      </c>
      <c r="O663" s="66">
        <f>IFERROR(__xludf.DUMMYFUNCTION("""COMPUTED_VALUE"""),0.0)</f>
        <v>0</v>
      </c>
      <c r="P663" s="67">
        <f>IFERROR(__xludf.DUMMYFUNCTION("""COMPUTED_VALUE"""),44168.0)</f>
        <v>44168</v>
      </c>
      <c r="Q663" s="68">
        <f>IFERROR(__xludf.DUMMYFUNCTION("""COMPUTED_VALUE"""),345.0)</f>
        <v>345</v>
      </c>
      <c r="R663" s="69" t="str">
        <f>IFERROR(__xludf.DUMMYFUNCTION("""COMPUTED_VALUE"""),"Credit Suisse")</f>
        <v>Credit Suisse</v>
      </c>
      <c r="S663" s="64">
        <f>IFERROR(__xludf.DUMMYFUNCTION("""COMPUTED_VALUE"""),44898.0)</f>
        <v>44898</v>
      </c>
      <c r="T663" s="70">
        <f>IFERROR(__xludf.DUMMYFUNCTION("""COMPUTED_VALUE"""),0.17534246575342466)</f>
        <v>0.1753424658</v>
      </c>
      <c r="U663" s="71" t="str">
        <f>IFERROR(__xludf.DUMMYFUNCTION("""COMPUTED_VALUE"""),"https://www.sec.gov/cgi-bin/browse-edgar?CIK=1825079")</f>
        <v>https://www.sec.gov/cgi-bin/browse-edgar?CIK=1825079</v>
      </c>
      <c r="V663" s="72" t="str">
        <f>IFERROR(__xludf.DUMMYFUNCTION("""COMPUTED_VALUE"""),"         Well-known Sponsor Serial Sponsor  ")</f>
        <v>         Well-known Sponsor Serial Sponsor  </v>
      </c>
      <c r="W663" s="73">
        <f>IFERROR(__xludf.DUMMYFUNCTION("""COMPUTED_VALUE"""),44278.0)</f>
        <v>44278</v>
      </c>
      <c r="X663" s="79">
        <f>IFERROR(__xludf.DUMMYFUNCTION("""COMPUTED_VALUE"""),3.6666666666666665)</f>
        <v>3.666666667</v>
      </c>
      <c r="Y663" s="80" t="str">
        <f>IFERROR(__xludf.DUMMYFUNCTION("""COMPUTED_VALUE"""),"https://www.businesswire.com/news/home/20210323005467/en/")</f>
        <v>https://www.businesswire.com/news/home/20210323005467/en/</v>
      </c>
      <c r="Z663" s="81" t="str">
        <f>IFERROR(__xludf.DUMMYFUNCTION("""COMPUTED_VALUE"""),"https://www.sec.gov/Archives/edgar/data/1825079/000110465921040078/tm2110566d1_ex99-2.htm")</f>
        <v>https://www.sec.gov/Archives/edgar/data/1825079/000110465921040078/tm2110566d1_ex99-2.htm</v>
      </c>
      <c r="AA663" s="60">
        <f>IFERROR(__xludf.DUMMYFUNCTION("""COMPUTED_VALUE"""),1.55E8)</f>
        <v>155000000</v>
      </c>
      <c r="AB663" s="60">
        <f>IFERROR(__xludf.DUMMYFUNCTION("""COMPUTED_VALUE"""),2.086E9)</f>
        <v>2086000000</v>
      </c>
      <c r="AC663" s="60">
        <f>IFERROR(__xludf.DUMMYFUNCTION("""COMPUTED_VALUE"""),1.614E9)</f>
        <v>1614000000</v>
      </c>
      <c r="AD663" s="73"/>
      <c r="AE663" s="73"/>
      <c r="AF663" s="76"/>
      <c r="AG663" s="60" t="str">
        <f>IFERROR(__xludf.DUMMYFUNCTION("""COMPUTED_VALUE"""),"")</f>
        <v/>
      </c>
    </row>
    <row r="664">
      <c r="A664" s="88" t="str">
        <f>IFERROR(__xludf.DUMMYFUNCTION("""COMPUTED_VALUE"""),"SPGL")</f>
        <v>SPGL</v>
      </c>
      <c r="B664" s="55" t="str">
        <f>IFERROR(__xludf.DUMMYFUNCTION("""COMPUTED_VALUE"""),"SPGL Acquisition Corp")</f>
        <v>SPGL Acquisition Corp</v>
      </c>
      <c r="C664" s="56" t="str">
        <f>IFERROR(__xludf.DUMMYFUNCTION("""COMPUTED_VALUE"""),"Pre IPO")</f>
        <v>Pre IPO</v>
      </c>
      <c r="D664" s="77" t="str">
        <f>IFERROR(__xludf.DUMMYFUNCTION("""COMPUTED_VALUE"""),"Semiconductor, components and electronic systems")</f>
        <v>Semiconductor, components and electronic systems</v>
      </c>
      <c r="E664" s="58"/>
      <c r="F664" s="59"/>
      <c r="G664" s="60">
        <f>IFERROR(__xludf.DUMMYFUNCTION("""COMPUTED_VALUE"""),2.5E8)</f>
        <v>250000000</v>
      </c>
      <c r="H664" s="60" t="str">
        <f>IFERROR(__xludf.DUMMYFUNCTION("""COMPUTED_VALUE""")," ")</f>
        <v> </v>
      </c>
      <c r="I664" s="66" t="str">
        <f>IFERROR(__xludf.DUMMYFUNCTION("""COMPUTED_VALUE""")," ")</f>
        <v> </v>
      </c>
      <c r="J664" s="62" t="str">
        <f>IFERROR(__xludf.DUMMYFUNCTION("""COMPUTED_VALUE""")," ")</f>
        <v> </v>
      </c>
      <c r="K664" s="59" t="str">
        <f>IFERROR(__xludf.DUMMYFUNCTION("""COMPUTED_VALUE""")," ")</f>
        <v> </v>
      </c>
      <c r="L664" s="87" t="str">
        <f>IFERROR(__xludf.DUMMYFUNCTION("""COMPUTED_VALUE""")," ")</f>
        <v> </v>
      </c>
      <c r="M664" s="64" t="str">
        <f>IFERROR(__xludf.DUMMYFUNCTION("""COMPUTED_VALUE"""),"U: [1/5 W]; W: [1:1, $11.5]")</f>
        <v>U: [1/5 W]; W: [1:1, $11.5]</v>
      </c>
      <c r="N664" s="65" t="str">
        <f>IFERROR(__xludf.DUMMYFUNCTION("""COMPUTED_VALUE"""),"")</f>
        <v/>
      </c>
      <c r="O664" s="66">
        <f>IFERROR(__xludf.DUMMYFUNCTION("""COMPUTED_VALUE"""),0.0)</f>
        <v>0</v>
      </c>
      <c r="P664" s="67"/>
      <c r="Q664" s="68">
        <f>IFERROR(__xludf.DUMMYFUNCTION("""COMPUTED_VALUE"""),250.0)</f>
        <v>250</v>
      </c>
      <c r="R664" s="69" t="str">
        <f>IFERROR(__xludf.DUMMYFUNCTION("""COMPUTED_VALUE"""),"Goldman Sachs &amp; Co. LLC, Deutsche Bank Securities")</f>
        <v>Goldman Sachs &amp; Co. LLC, Deutsche Bank Securities</v>
      </c>
      <c r="S664" s="64">
        <f>IFERROR(__xludf.DUMMYFUNCTION("""COMPUTED_VALUE"""),45086.0)</f>
        <v>45086</v>
      </c>
      <c r="T664" s="70" t="str">
        <f>IFERROR(__xludf.DUMMYFUNCTION("""COMPUTED_VALUE"""),"")</f>
        <v/>
      </c>
      <c r="U664" s="71" t="str">
        <f>IFERROR(__xludf.DUMMYFUNCTION("""COMPUTED_VALUE"""),"https://www.sec.gov/cgi-bin/browse-edgar?CIK=1847618")</f>
        <v>https://www.sec.gov/cgi-bin/browse-edgar?CIK=1847618</v>
      </c>
      <c r="V664" s="72" t="str">
        <f>IFERROR(__xludf.DUMMYFUNCTION("""COMPUTED_VALUE"""),"           Top Tier UW ")</f>
        <v>           Top Tier UW </v>
      </c>
      <c r="W664" s="73"/>
      <c r="X664" s="74"/>
      <c r="Y664" s="75"/>
      <c r="Z664" s="60"/>
      <c r="AA664" s="60"/>
      <c r="AB664" s="60"/>
      <c r="AC664" s="60"/>
      <c r="AD664" s="73"/>
      <c r="AE664" s="73"/>
      <c r="AF664" s="76"/>
      <c r="AG664" s="60"/>
    </row>
    <row r="665">
      <c r="A665" s="54" t="str">
        <f>IFERROR(__xludf.DUMMYFUNCTION("""COMPUTED_VALUE"""),"SPGS")</f>
        <v>SPGS</v>
      </c>
      <c r="B665" s="55" t="str">
        <f>IFERROR(__xludf.DUMMYFUNCTION("""COMPUTED_VALUE"""),"Simon Property Group Acquisition Holdings, Inc.")</f>
        <v>Simon Property Group Acquisition Holdings, Inc.</v>
      </c>
      <c r="C665" s="56" t="str">
        <f>IFERROR(__xludf.DUMMYFUNCTION("""COMPUTED_VALUE"""),"Searching (Pre Unit Split)")</f>
        <v>Searching (Pre Unit Split)</v>
      </c>
      <c r="D665" s="57"/>
      <c r="E665" s="58"/>
      <c r="F665" s="59" t="str">
        <f>IFERROR(__xludf.DUMMYFUNCTION("""COMPUTED_VALUE"""),"David Simon (Chairman/Fmr CEO, SPG; Chairman, Klepierre)")</f>
        <v>David Simon (Chairman/Fmr CEO, SPG; Chairman, Klepierre)</v>
      </c>
      <c r="G665" s="60">
        <f>IFERROR(__xludf.DUMMYFUNCTION("""COMPUTED_VALUE"""),3.45E8)</f>
        <v>345000000</v>
      </c>
      <c r="H665" s="60" t="str">
        <f>IFERROR(__xludf.DUMMYFUNCTION("""COMPUTED_VALUE""")," ")</f>
        <v> </v>
      </c>
      <c r="I665" s="66" t="str">
        <f>IFERROR(__xludf.DUMMYFUNCTION("""COMPUTED_VALUE""")," ")</f>
        <v> </v>
      </c>
      <c r="J665" s="62" t="str">
        <f>IFERROR(__xludf.DUMMYFUNCTION("""COMPUTED_VALUE""")," ")</f>
        <v> </v>
      </c>
      <c r="K665" s="59">
        <f>IFERROR(__xludf.DUMMYFUNCTION("""COMPUTED_VALUE"""),10.3)</f>
        <v>10.3</v>
      </c>
      <c r="L665" s="87" t="str">
        <f>IFERROR(__xludf.DUMMYFUNCTION("""COMPUTED_VALUE""")," ")</f>
        <v> </v>
      </c>
      <c r="M665" s="64" t="str">
        <f>IFERROR(__xludf.DUMMYFUNCTION("""COMPUTED_VALUE"""),"U: [1/5 W]; W: [1:1, $11.5]")</f>
        <v>U: [1/5 W]; W: [1:1, $11.5]</v>
      </c>
      <c r="N665" s="65">
        <f>IFERROR(__xludf.DUMMYFUNCTION("""COMPUTED_VALUE"""),44297.0)</f>
        <v>44297</v>
      </c>
      <c r="O665" s="66" t="str">
        <f>IFERROR(__xludf.DUMMYFUNCTION("""COMPUTED_VALUE"""),"")</f>
        <v/>
      </c>
      <c r="P665" s="67">
        <f>IFERROR(__xludf.DUMMYFUNCTION("""COMPUTED_VALUE"""),44245.0)</f>
        <v>44245</v>
      </c>
      <c r="Q665" s="68">
        <f>IFERROR(__xludf.DUMMYFUNCTION("""COMPUTED_VALUE"""),345.0)</f>
        <v>345</v>
      </c>
      <c r="R665" s="69" t="str">
        <f>IFERROR(__xludf.DUMMYFUNCTION("""COMPUTED_VALUE"""),"Goldman Sachs")</f>
        <v>Goldman Sachs</v>
      </c>
      <c r="S665" s="64">
        <f>IFERROR(__xludf.DUMMYFUNCTION("""COMPUTED_VALUE"""),44975.0)</f>
        <v>44975</v>
      </c>
      <c r="T665" s="70">
        <f>IFERROR(__xludf.DUMMYFUNCTION("""COMPUTED_VALUE"""),0.06986301369863014)</f>
        <v>0.0698630137</v>
      </c>
      <c r="U665" s="71" t="str">
        <f>IFERROR(__xludf.DUMMYFUNCTION("""COMPUTED_VALUE"""),"https://www.sec.gov/cgi-bin/browse-edgar?CIK=1839127")</f>
        <v>https://www.sec.gov/cgi-bin/browse-edgar?CIK=1839127</v>
      </c>
      <c r="V665" s="72" t="str">
        <f>IFERROR(__xludf.DUMMYFUNCTION("""COMPUTED_VALUE"""),"         Well-known Sponsor  Top Tier UW ")</f>
        <v>         Well-known Sponsor  Top Tier UW </v>
      </c>
      <c r="W665" s="73"/>
      <c r="X665" s="74"/>
      <c r="Y665" s="75"/>
      <c r="Z665" s="60"/>
      <c r="AA665" s="60"/>
      <c r="AB665" s="60"/>
      <c r="AC665" s="60"/>
      <c r="AD665" s="73"/>
      <c r="AE665" s="73"/>
      <c r="AF665" s="76"/>
      <c r="AG665" s="60" t="str">
        <f>IFERROR(__xludf.DUMMYFUNCTION("""COMPUTED_VALUE"""),"")</f>
        <v/>
      </c>
    </row>
    <row r="666">
      <c r="A666" s="88" t="str">
        <f>IFERROR(__xludf.DUMMYFUNCTION("""COMPUTED_VALUE"""),"SPKB")</f>
        <v>SPKB</v>
      </c>
      <c r="B666" s="55" t="str">
        <f>IFERROR(__xludf.DUMMYFUNCTION("""COMPUTED_VALUE"""),"Silver Spike Acquisition Corp II")</f>
        <v>Silver Spike Acquisition Corp II</v>
      </c>
      <c r="C666" s="56" t="str">
        <f>IFERROR(__xludf.DUMMYFUNCTION("""COMPUTED_VALUE"""),"Searching (Pre Unit Split)")</f>
        <v>Searching (Pre Unit Split)</v>
      </c>
      <c r="D666" s="77" t="str">
        <f>IFERROR(__xludf.DUMMYFUNCTION("""COMPUTED_VALUE"""),"Cannabis")</f>
        <v>Cannabis</v>
      </c>
      <c r="E666" s="58"/>
      <c r="F666" s="59"/>
      <c r="G666" s="60">
        <f>IFERROR(__xludf.DUMMYFUNCTION("""COMPUTED_VALUE"""),2.5E8)</f>
        <v>250000000</v>
      </c>
      <c r="H666" s="60" t="str">
        <f>IFERROR(__xludf.DUMMYFUNCTION("""COMPUTED_VALUE""")," ")</f>
        <v> </v>
      </c>
      <c r="I666" s="66" t="str">
        <f>IFERROR(__xludf.DUMMYFUNCTION("""COMPUTED_VALUE""")," ")</f>
        <v> </v>
      </c>
      <c r="J666" s="62" t="str">
        <f>IFERROR(__xludf.DUMMYFUNCTION("""COMPUTED_VALUE""")," ")</f>
        <v> </v>
      </c>
      <c r="K666" s="59">
        <f>IFERROR(__xludf.DUMMYFUNCTION("""COMPUTED_VALUE"""),10.01)</f>
        <v>10.01</v>
      </c>
      <c r="L666" s="87" t="str">
        <f>IFERROR(__xludf.DUMMYFUNCTION("""COMPUTED_VALUE""")," ")</f>
        <v> </v>
      </c>
      <c r="M666" s="64" t="str">
        <f>IFERROR(__xludf.DUMMYFUNCTION("""COMPUTED_VALUE"""),"U: [1/4 W]; W: [1:1, $11.5]")</f>
        <v>U: [1/4 W]; W: [1:1, $11.5]</v>
      </c>
      <c r="N666" s="65">
        <f>IFERROR(__xludf.DUMMYFUNCTION("""COMPUTED_VALUE"""),44317.0)</f>
        <v>44317</v>
      </c>
      <c r="O666" s="66" t="str">
        <f>IFERROR(__xludf.DUMMYFUNCTION("""COMPUTED_VALUE"""),"")</f>
        <v/>
      </c>
      <c r="P666" s="67">
        <f>IFERROR(__xludf.DUMMYFUNCTION("""COMPUTED_VALUE"""),44265.0)</f>
        <v>44265</v>
      </c>
      <c r="Q666" s="68">
        <f>IFERROR(__xludf.DUMMYFUNCTION("""COMPUTED_VALUE"""),250.0)</f>
        <v>250</v>
      </c>
      <c r="R666" s="69" t="str">
        <f>IFERROR(__xludf.DUMMYFUNCTION("""COMPUTED_VALUE"""),"Credit Suisse, Stifel")</f>
        <v>Credit Suisse, Stifel</v>
      </c>
      <c r="S666" s="64">
        <f>IFERROR(__xludf.DUMMYFUNCTION("""COMPUTED_VALUE"""),44995.0)</f>
        <v>44995</v>
      </c>
      <c r="T666" s="70">
        <f>IFERROR(__xludf.DUMMYFUNCTION("""COMPUTED_VALUE"""),0.04246575342465753)</f>
        <v>0.04246575342</v>
      </c>
      <c r="U666" s="71" t="str">
        <f>IFERROR(__xludf.DUMMYFUNCTION("""COMPUTED_VALUE"""),"https://www.sec.gov/cgi-bin/browse-edgar?CIK=1826435")</f>
        <v>https://www.sec.gov/cgi-bin/browse-edgar?CIK=1826435</v>
      </c>
      <c r="V666" s="72" t="str">
        <f>IFERROR(__xludf.DUMMYFUNCTION("""COMPUTED_VALUE"""),"            ")</f>
        <v>            </v>
      </c>
      <c r="W666" s="73"/>
      <c r="X666" s="74"/>
      <c r="Y666" s="75"/>
      <c r="Z666" s="60"/>
      <c r="AA666" s="60"/>
      <c r="AB666" s="60"/>
      <c r="AC666" s="60"/>
      <c r="AD666" s="73"/>
      <c r="AE666" s="73"/>
      <c r="AF666" s="76"/>
      <c r="AG666" s="60"/>
    </row>
    <row r="667">
      <c r="A667" s="54" t="str">
        <f>IFERROR(__xludf.DUMMYFUNCTION("""COMPUTED_VALUE"""),"SPNV")</f>
        <v>SPNV</v>
      </c>
      <c r="B667" s="55" t="str">
        <f>IFERROR(__xludf.DUMMYFUNCTION("""COMPUTED_VALUE"""),"Supernova Partners Acquisition Company")</f>
        <v>Supernova Partners Acquisition Company</v>
      </c>
      <c r="C667" s="56" t="str">
        <f>IFERROR(__xludf.DUMMYFUNCTION("""COMPUTED_VALUE"""),"Definitive Agreement")</f>
        <v>Definitive Agreement</v>
      </c>
      <c r="D667" s="57" t="str">
        <f>IFERROR(__xludf.DUMMYFUNCTION("""COMPUTED_VALUE"""),"""Growth company that Benefits from Tech-enabled trends""")</f>
        <v>"Growth company that Benefits from Tech-enabled trends"</v>
      </c>
      <c r="E667" s="58" t="str">
        <f>IFERROR(__xludf.DUMMYFUNCTION("""COMPUTED_VALUE"""),"Offerpad [DA: 03/18/21]")</f>
        <v>Offerpad [DA: 03/18/21]</v>
      </c>
      <c r="F667" s="59" t="str">
        <f>IFERROR(__xludf.DUMMYFUNCTION("""COMPUTED_VALUE"""),"Spencer Rascoff (Co-founder and Fmr CEO of Zillow, Co-founder, Hotwire; Director, Palantir), Ken Fox (Founder, Stripes), Jim Lanzone (CEO, Tinder; Fmr CEO, Ask.com), Gregg Renfrew (CEO, Beautycounter), Rajeev Singh (CEO, Accolade)")</f>
        <v>Spencer Rascoff (Co-founder and Fmr CEO of Zillow, Co-founder, Hotwire; Director, Palantir), Ken Fox (Founder, Stripes), Jim Lanzone (CEO, Tinder; Fmr CEO, Ask.com), Gregg Renfrew (CEO, Beautycounter), Rajeev Singh (CEO, Accolade)</v>
      </c>
      <c r="G667" s="60">
        <f>IFERROR(__xludf.DUMMYFUNCTION("""COMPUTED_VALUE"""),4.02578522E8)</f>
        <v>402578522</v>
      </c>
      <c r="H667" s="60">
        <f>IFERROR(__xludf.DUMMYFUNCTION("""COMPUTED_VALUE"""),4.04915E8)</f>
        <v>404915000</v>
      </c>
      <c r="I667" s="66">
        <f>IFERROR(__xludf.DUMMYFUNCTION("""COMPUTED_VALUE"""),10.06)</f>
        <v>10.06</v>
      </c>
      <c r="J667" s="62">
        <f>IFERROR(__xludf.DUMMYFUNCTION("""COMPUTED_VALUE"""),-0.00198)</f>
        <v>-0.00198</v>
      </c>
      <c r="K667" s="59">
        <f>IFERROR(__xludf.DUMMYFUNCTION("""COMPUTED_VALUE"""),10.84)</f>
        <v>10.84</v>
      </c>
      <c r="L667" s="87">
        <f>IFERROR(__xludf.DUMMYFUNCTION("""COMPUTED_VALUE"""),1.88)</f>
        <v>1.88</v>
      </c>
      <c r="M667" s="64" t="str">
        <f>IFERROR(__xludf.DUMMYFUNCTION("""COMPUTED_VALUE"""),"U: [1/3 W]; W: [1:1, $11.5]")</f>
        <v>U: [1/3 W]; W: [1:1, $11.5]</v>
      </c>
      <c r="N667" s="65" t="str">
        <f>IFERROR(__xludf.DUMMYFUNCTION("""COMPUTED_VALUE"""),"")</f>
        <v/>
      </c>
      <c r="O667" s="66">
        <f>IFERROR(__xludf.DUMMYFUNCTION("""COMPUTED_VALUE"""),0.0)</f>
        <v>0</v>
      </c>
      <c r="P667" s="67">
        <f>IFERROR(__xludf.DUMMYFUNCTION("""COMPUTED_VALUE"""),44124.0)</f>
        <v>44124</v>
      </c>
      <c r="Q667" s="68">
        <f>IFERROR(__xludf.DUMMYFUNCTION("""COMPUTED_VALUE"""),402.5)</f>
        <v>402.5</v>
      </c>
      <c r="R667" s="69" t="str">
        <f>IFERROR(__xludf.DUMMYFUNCTION("""COMPUTED_VALUE"""),"JP Morgan, Jefferies")</f>
        <v>JP Morgan, Jefferies</v>
      </c>
      <c r="S667" s="64">
        <f>IFERROR(__xludf.DUMMYFUNCTION("""COMPUTED_VALUE"""),44854.0)</f>
        <v>44854</v>
      </c>
      <c r="T667" s="70">
        <f>IFERROR(__xludf.DUMMYFUNCTION("""COMPUTED_VALUE"""),0.2356164383561644)</f>
        <v>0.2356164384</v>
      </c>
      <c r="U667" s="71" t="str">
        <f>IFERROR(__xludf.DUMMYFUNCTION("""COMPUTED_VALUE"""),"https://www.sec.gov/cgi-bin/browse-edgar?CIK=1825024")</f>
        <v>https://www.sec.gov/cgi-bin/browse-edgar?CIK=1825024</v>
      </c>
      <c r="V667" s="72" t="str">
        <f>IFERROR(__xludf.DUMMYFUNCTION("""COMPUTED_VALUE"""),"     Optionable    Well-known Sponsor  Top Tier UW ")</f>
        <v>     Optionable    Well-known Sponsor  Top Tier UW </v>
      </c>
      <c r="W667" s="73">
        <f>IFERROR(__xludf.DUMMYFUNCTION("""COMPUTED_VALUE"""),44273.0)</f>
        <v>44273</v>
      </c>
      <c r="X667" s="79">
        <f>IFERROR(__xludf.DUMMYFUNCTION("""COMPUTED_VALUE"""),4.966666666666667)</f>
        <v>4.966666667</v>
      </c>
      <c r="Y667" s="80" t="str">
        <f>IFERROR(__xludf.DUMMYFUNCTION("""COMPUTED_VALUE"""),"https://www.prnewswire.com/news-releases/offerpad-a-leading-tech-enabled-real-estate-solutions-platform-announces-plans-to-become-publicly-traded-via-merger-with-supernova-partners-acquisition-company-301250228.html")</f>
        <v>https://www.prnewswire.com/news-releases/offerpad-a-leading-tech-enabled-real-estate-solutions-platform-announces-plans-to-become-publicly-traded-via-merger-with-supernova-partners-acquisition-company-301250228.html</v>
      </c>
      <c r="Z667" s="81" t="str">
        <f>IFERROR(__xludf.DUMMYFUNCTION("""COMPUTED_VALUE"""),"https://www.sec.gov/Archives/edgar/data/1825024/000119312521085157/d105491dex992.htm")</f>
        <v>https://www.sec.gov/Archives/edgar/data/1825024/000119312521085157/d105491dex992.htm</v>
      </c>
      <c r="AA667" s="60">
        <f>IFERROR(__xludf.DUMMYFUNCTION("""COMPUTED_VALUE"""),2.0E8)</f>
        <v>200000000</v>
      </c>
      <c r="AB667" s="60">
        <f>IFERROR(__xludf.DUMMYFUNCTION("""COMPUTED_VALUE"""),3.003E9)</f>
        <v>3003000000</v>
      </c>
      <c r="AC667" s="60">
        <f>IFERROR(__xludf.DUMMYFUNCTION("""COMPUTED_VALUE"""),2.368E9)</f>
        <v>2368000000</v>
      </c>
      <c r="AD667" s="73"/>
      <c r="AE667" s="73"/>
      <c r="AF667" s="76">
        <f>IFERROR(__xludf.DUMMYFUNCTION("""COMPUTED_VALUE"""),3.003E8)</f>
        <v>300300000</v>
      </c>
      <c r="AG667" s="60">
        <f>IFERROR(__xludf.DUMMYFUNCTION("""COMPUTED_VALUE"""),3.021018E9)</f>
        <v>3021018000</v>
      </c>
    </row>
    <row r="668">
      <c r="A668" s="54" t="str">
        <f>IFERROR(__xludf.DUMMYFUNCTION("""COMPUTED_VALUE"""),"SPRQ")</f>
        <v>SPRQ</v>
      </c>
      <c r="B668" s="55" t="str">
        <f>IFERROR(__xludf.DUMMYFUNCTION("""COMPUTED_VALUE"""),"Spartan Acquisition Corp. II")</f>
        <v>Spartan Acquisition Corp. II</v>
      </c>
      <c r="C668" s="56" t="str">
        <f>IFERROR(__xludf.DUMMYFUNCTION("""COMPUTED_VALUE"""),"Definitive Agreement")</f>
        <v>Definitive Agreement</v>
      </c>
      <c r="D668" s="57" t="str">
        <f>IFERROR(__xludf.DUMMYFUNCTION("""COMPUTED_VALUE"""),"Energy")</f>
        <v>Energy</v>
      </c>
      <c r="E668" s="58" t="str">
        <f>IFERROR(__xludf.DUMMYFUNCTION("""COMPUTED_VALUE"""),"Sunlight Financial [DA: 01/25/21]")</f>
        <v>Sunlight Financial [DA: 01/25/21]</v>
      </c>
      <c r="F668" s="59" t="str">
        <f>IFERROR(__xludf.DUMMYFUNCTION("""COMPUTED_VALUE"""),"Apollo")</f>
        <v>Apollo</v>
      </c>
      <c r="G668" s="60">
        <f>IFERROR(__xludf.DUMMYFUNCTION("""COMPUTED_VALUE"""),3.45E8)</f>
        <v>345000000</v>
      </c>
      <c r="H668" s="60">
        <f>IFERROR(__xludf.DUMMYFUNCTION("""COMPUTED_VALUE"""),3.47415E8)</f>
        <v>347415000</v>
      </c>
      <c r="I668" s="66">
        <f>IFERROR(__xludf.DUMMYFUNCTION("""COMPUTED_VALUE"""),10.07)</f>
        <v>10.07</v>
      </c>
      <c r="J668" s="62">
        <f>IFERROR(__xludf.DUMMYFUNCTION("""COMPUTED_VALUE"""),-0.00198)</f>
        <v>-0.00198</v>
      </c>
      <c r="K668" s="59">
        <f>IFERROR(__xludf.DUMMYFUNCTION("""COMPUTED_VALUE"""),10.99)</f>
        <v>10.99</v>
      </c>
      <c r="L668" s="87">
        <f>IFERROR(__xludf.DUMMYFUNCTION("""COMPUTED_VALUE"""),1.87)</f>
        <v>1.87</v>
      </c>
      <c r="M668" s="64" t="str">
        <f>IFERROR(__xludf.DUMMYFUNCTION("""COMPUTED_VALUE"""),"U: [1/2 W]; W: [1:1, $11.5]")</f>
        <v>U: [1/2 W]; W: [1:1, $11.5]</v>
      </c>
      <c r="N668" s="65" t="str">
        <f>IFERROR(__xludf.DUMMYFUNCTION("""COMPUTED_VALUE"""),"")</f>
        <v/>
      </c>
      <c r="O668" s="66">
        <f>IFERROR(__xludf.DUMMYFUNCTION("""COMPUTED_VALUE"""),0.0)</f>
        <v>0</v>
      </c>
      <c r="P668" s="67">
        <f>IFERROR(__xludf.DUMMYFUNCTION("""COMPUTED_VALUE"""),44159.0)</f>
        <v>44159</v>
      </c>
      <c r="Q668" s="68">
        <f>IFERROR(__xludf.DUMMYFUNCTION("""COMPUTED_VALUE"""),345.0)</f>
        <v>345</v>
      </c>
      <c r="R668" s="69" t="str">
        <f>IFERROR(__xludf.DUMMYFUNCTION("""COMPUTED_VALUE"""),"Cantor")</f>
        <v>Cantor</v>
      </c>
      <c r="S668" s="64">
        <f>IFERROR(__xludf.DUMMYFUNCTION("""COMPUTED_VALUE"""),44889.0)</f>
        <v>44889</v>
      </c>
      <c r="T668" s="70">
        <f>IFERROR(__xludf.DUMMYFUNCTION("""COMPUTED_VALUE"""),0.18767123287671234)</f>
        <v>0.1876712329</v>
      </c>
      <c r="U668" s="71" t="str">
        <f>IFERROR(__xludf.DUMMYFUNCTION("""COMPUTED_VALUE"""),"https://www.sec.gov/cgi-bin/browse-edgar?CIK=1821850")</f>
        <v>https://www.sec.gov/cgi-bin/browse-edgar?CIK=1821850</v>
      </c>
      <c r="V668" s="72" t="str">
        <f>IFERROR(__xludf.DUMMYFUNCTION("""COMPUTED_VALUE"""),"     Optionable    Well-known Sponsor Serial Sponsor  ")</f>
        <v>     Optionable    Well-known Sponsor Serial Sponsor  </v>
      </c>
      <c r="W668" s="73">
        <f>IFERROR(__xludf.DUMMYFUNCTION("""COMPUTED_VALUE"""),44221.0)</f>
        <v>44221</v>
      </c>
      <c r="X668" s="79">
        <f>IFERROR(__xludf.DUMMYFUNCTION("""COMPUTED_VALUE"""),2.066666666666667)</f>
        <v>2.066666667</v>
      </c>
      <c r="Y668" s="80" t="str">
        <f>IFERROR(__xludf.DUMMYFUNCTION("""COMPUTED_VALUE"""),"https://www.businesswire.com/news/home/20210125005213/en/%C2%A0Sunlight-Financial-LLC-a-Premier-Residential-Solar-Financing-Platform-to-List-on-NYSE-Through-Merger-With-Apollo-Affiliated-Spartan-Acquisition-Corp.-II")</f>
        <v>https://www.businesswire.com/news/home/20210125005213/en/%C2%A0Sunlight-Financial-LLC-a-Premier-Residential-Solar-Financing-Platform-to-List-on-NYSE-Through-Merger-With-Apollo-Affiliated-Spartan-Acquisition-Corp.-II</v>
      </c>
      <c r="Z668" s="81" t="str">
        <f>IFERROR(__xludf.DUMMYFUNCTION("""COMPUTED_VALUE"""),"https://www.sec.gov/Archives/edgar/data/1821850/000121390021003877/ea133748ex99-3_spartanacq2.htm")</f>
        <v>https://www.sec.gov/Archives/edgar/data/1821850/000121390021003877/ea133748ex99-3_spartanacq2.htm</v>
      </c>
      <c r="AA668" s="60">
        <f>IFERROR(__xludf.DUMMYFUNCTION("""COMPUTED_VALUE"""),2.5E8)</f>
        <v>250000000</v>
      </c>
      <c r="AB668" s="60">
        <f>IFERROR(__xludf.DUMMYFUNCTION("""COMPUTED_VALUE"""),1.349E9)</f>
        <v>1349000000</v>
      </c>
      <c r="AC668" s="60">
        <f>IFERROR(__xludf.DUMMYFUNCTION("""COMPUTED_VALUE"""),1.267E9)</f>
        <v>1267000000</v>
      </c>
      <c r="AD668" s="73"/>
      <c r="AE668" s="73"/>
      <c r="AF668" s="76">
        <f>IFERROR(__xludf.DUMMYFUNCTION("""COMPUTED_VALUE"""),1.349E8)</f>
        <v>134900000</v>
      </c>
      <c r="AG668" s="60">
        <f>IFERROR(__xludf.DUMMYFUNCTION("""COMPUTED_VALUE"""),1.358443E9)</f>
        <v>1358443000</v>
      </c>
    </row>
    <row r="669">
      <c r="A669" s="54" t="str">
        <f>IFERROR(__xludf.DUMMYFUNCTION("""COMPUTED_VALUE"""),"SPTK")</f>
        <v>SPTK</v>
      </c>
      <c r="B669" s="55" t="str">
        <f>IFERROR(__xludf.DUMMYFUNCTION("""COMPUTED_VALUE"""),"SportsTek Acquisition Corp.")</f>
        <v>SportsTek Acquisition Corp.</v>
      </c>
      <c r="C669" s="56" t="str">
        <f>IFERROR(__xludf.DUMMYFUNCTION("""COMPUTED_VALUE"""),"Searching")</f>
        <v>Searching</v>
      </c>
      <c r="D669" s="77" t="str">
        <f>IFERROR(__xludf.DUMMYFUNCTION("""COMPUTED_VALUE"""),"Sports: franchises, media, data analytics, &amp; Tech")</f>
        <v>Sports: franchises, media, data analytics, &amp; Tech</v>
      </c>
      <c r="E669" s="58"/>
      <c r="F669" s="59" t="str">
        <f>IFERROR(__xludf.DUMMYFUNCTION("""COMPUTED_VALUE"""),"Tavo Hellmund (Founder, FIA Formula-1 United States Grand Prix; Co-founder, Circuit of the Americas), Jeffrey Luhnow (Fmr GM, Houston Astros), Sashi Brown (Chief Planning &amp; Ops Officer, Monumental Sports &amp; Entertainment; Fmr Exec VP Football Ops, Clevelan"&amp;"d Browns)")</f>
        <v>Tavo Hellmund (Founder, FIA Formula-1 United States Grand Prix; Co-founder, Circuit of the Americas), Jeffrey Luhnow (Fmr GM, Houston Astros), Sashi Brown (Chief Planning &amp; Ops Officer, Monumental Sports &amp; Entertainment; Fmr Exec VP Football Ops, Cleveland Browns)</v>
      </c>
      <c r="G669" s="60">
        <f>IFERROR(__xludf.DUMMYFUNCTION("""COMPUTED_VALUE"""),1.725E8)</f>
        <v>172500000</v>
      </c>
      <c r="H669" s="60"/>
      <c r="I669" s="66">
        <f>IFERROR(__xludf.DUMMYFUNCTION("""COMPUTED_VALUE"""),9.71)</f>
        <v>9.71</v>
      </c>
      <c r="J669" s="62" t="str">
        <f>IFERROR(__xludf.DUMMYFUNCTION("""COMPUTED_VALUE""")," ")</f>
        <v> </v>
      </c>
      <c r="K669" s="59">
        <f>IFERROR(__xludf.DUMMYFUNCTION("""COMPUTED_VALUE"""),10.04)</f>
        <v>10.04</v>
      </c>
      <c r="L669" s="87">
        <f>IFERROR(__xludf.DUMMYFUNCTION("""COMPUTED_VALUE"""),0.69)</f>
        <v>0.69</v>
      </c>
      <c r="M669" s="64" t="str">
        <f>IFERROR(__xludf.DUMMYFUNCTION("""COMPUTED_VALUE"""),"U: [1/2 W]; W: [1:1, $11.5]")</f>
        <v>U: [1/2 W]; W: [1:1, $11.5]</v>
      </c>
      <c r="N669" s="65" t="str">
        <f>IFERROR(__xludf.DUMMYFUNCTION("""COMPUTED_VALUE"""),"")</f>
        <v/>
      </c>
      <c r="O669" s="66">
        <f>IFERROR(__xludf.DUMMYFUNCTION("""COMPUTED_VALUE"""),0.0)</f>
        <v>0</v>
      </c>
      <c r="P669" s="67">
        <f>IFERROR(__xludf.DUMMYFUNCTION("""COMPUTED_VALUE"""),44244.0)</f>
        <v>44244</v>
      </c>
      <c r="Q669" s="68">
        <f>IFERROR(__xludf.DUMMYFUNCTION("""COMPUTED_VALUE"""),172.5)</f>
        <v>172.5</v>
      </c>
      <c r="R669" s="69" t="str">
        <f>IFERROR(__xludf.DUMMYFUNCTION("""COMPUTED_VALUE"""),"Stifel")</f>
        <v>Stifel</v>
      </c>
      <c r="S669" s="64">
        <f>IFERROR(__xludf.DUMMYFUNCTION("""COMPUTED_VALUE"""),44974.0)</f>
        <v>44974</v>
      </c>
      <c r="T669" s="70">
        <f>IFERROR(__xludf.DUMMYFUNCTION("""COMPUTED_VALUE"""),0.07123287671232877)</f>
        <v>0.07123287671</v>
      </c>
      <c r="U669" s="71" t="str">
        <f>IFERROR(__xludf.DUMMYFUNCTION("""COMPUTED_VALUE"""),"https://www.sec.gov/cgi-bin/browse-edgar?CIK=1836259")</f>
        <v>https://www.sec.gov/cgi-bin/browse-edgar?CIK=1836259</v>
      </c>
      <c r="V669" s="72" t="str">
        <f>IFERROR(__xludf.DUMMYFUNCTION("""COMPUTED_VALUE""")," Trading Below $10 (Common)        Well-known Sponsor   Recent Split")</f>
        <v> Trading Below $10 (Common)        Well-known Sponsor   Recent Split</v>
      </c>
      <c r="W669" s="73"/>
      <c r="X669" s="74"/>
      <c r="Y669" s="75"/>
      <c r="Z669" s="60"/>
      <c r="AA669" s="60"/>
      <c r="AB669" s="60"/>
      <c r="AC669" s="60"/>
      <c r="AD669" s="73"/>
      <c r="AE669" s="73"/>
      <c r="AF669" s="76"/>
      <c r="AG669" s="60" t="str">
        <f>IFERROR(__xludf.DUMMYFUNCTION("""COMPUTED_VALUE"""),"")</f>
        <v/>
      </c>
    </row>
    <row r="670">
      <c r="A670" s="54" t="str">
        <f>IFERROR(__xludf.DUMMYFUNCTION("""COMPUTED_VALUE"""),"SRAC")</f>
        <v>SRAC</v>
      </c>
      <c r="B670" s="55" t="str">
        <f>IFERROR(__xludf.DUMMYFUNCTION("""COMPUTED_VALUE"""),"Stable Road Acquisition Corp")</f>
        <v>Stable Road Acquisition Corp</v>
      </c>
      <c r="C670" s="56" t="str">
        <f>IFERROR(__xludf.DUMMYFUNCTION("""COMPUTED_VALUE"""),"Definitive Agreement")</f>
        <v>Definitive Agreement</v>
      </c>
      <c r="D670" s="57" t="str">
        <f>IFERROR(__xludf.DUMMYFUNCTION("""COMPUTED_VALUE"""),"Cannabis")</f>
        <v>Cannabis</v>
      </c>
      <c r="E670" s="58" t="str">
        <f>IFERROR(__xludf.DUMMYFUNCTION("""COMPUTED_VALUE"""),"Momentus Inc [DA: 10/07/20]")</f>
        <v>Momentus Inc [DA: 10/07/20]</v>
      </c>
      <c r="F670" s="59"/>
      <c r="G670" s="60">
        <f>IFERROR(__xludf.DUMMYFUNCTION("""COMPUTED_VALUE"""),1.73107749E8)</f>
        <v>173107749</v>
      </c>
      <c r="H670" s="60">
        <f>IFERROR(__xludf.DUMMYFUNCTION("""COMPUTED_VALUE"""),2.1265025E8)</f>
        <v>212650250</v>
      </c>
      <c r="I670" s="66">
        <f>IFERROR(__xludf.DUMMYFUNCTION("""COMPUTED_VALUE"""),11.95)</f>
        <v>11.95</v>
      </c>
      <c r="J670" s="62">
        <f>IFERROR(__xludf.DUMMYFUNCTION("""COMPUTED_VALUE"""),-0.02049)</f>
        <v>-0.02049</v>
      </c>
      <c r="K670" s="59">
        <f>IFERROR(__xludf.DUMMYFUNCTION("""COMPUTED_VALUE"""),13.8)</f>
        <v>13.8</v>
      </c>
      <c r="L670" s="87">
        <f>IFERROR(__xludf.DUMMYFUNCTION("""COMPUTED_VALUE"""),3.65)</f>
        <v>3.65</v>
      </c>
      <c r="M670" s="64" t="str">
        <f>IFERROR(__xludf.DUMMYFUNCTION("""COMPUTED_VALUE"""),"U: [1/2 W]; W: [1:1, $11.5]")</f>
        <v>U: [1/2 W]; W: [1:1, $11.5]</v>
      </c>
      <c r="N670" s="65" t="str">
        <f>IFERROR(__xludf.DUMMYFUNCTION("""COMPUTED_VALUE"""),"")</f>
        <v/>
      </c>
      <c r="O670" s="66">
        <f>IFERROR(__xludf.DUMMYFUNCTION("""COMPUTED_VALUE"""),0.4499999999999993)</f>
        <v>0.45</v>
      </c>
      <c r="P670" s="67">
        <f>IFERROR(__xludf.DUMMYFUNCTION("""COMPUTED_VALUE"""),43777.0)</f>
        <v>43777</v>
      </c>
      <c r="Q670" s="68">
        <f>IFERROR(__xludf.DUMMYFUNCTION("""COMPUTED_VALUE"""),172.5)</f>
        <v>172.5</v>
      </c>
      <c r="R670" s="69" t="str">
        <f>IFERROR(__xludf.DUMMYFUNCTION("""COMPUTED_VALUE"""),"Cantor")</f>
        <v>Cantor</v>
      </c>
      <c r="S670" s="64">
        <f>IFERROR(__xludf.DUMMYFUNCTION("""COMPUTED_VALUE"""),44324.5)</f>
        <v>44324.5</v>
      </c>
      <c r="T670" s="70">
        <f>IFERROR(__xludf.DUMMYFUNCTION("""COMPUTED_VALUE"""),0.947945205479452)</f>
        <v>0.9479452055</v>
      </c>
      <c r="U670" s="71" t="str">
        <f>IFERROR(__xludf.DUMMYFUNCTION("""COMPUTED_VALUE"""),"https://www.sec.gov/cgi-bin/browse-edgar?CIK=1781162")</f>
        <v>https://www.sec.gov/cgi-bin/browse-edgar?CIK=1781162</v>
      </c>
      <c r="V670" s="72" t="str">
        <f>IFERROR(__xludf.DUMMYFUNCTION("""COMPUTED_VALUE"""),"Aerospace     Optionable Deadline Approaching      ")</f>
        <v>Aerospace     Optionable Deadline Approaching      </v>
      </c>
      <c r="W670" s="73">
        <f>IFERROR(__xludf.DUMMYFUNCTION("""COMPUTED_VALUE"""),44111.0)</f>
        <v>44111</v>
      </c>
      <c r="X670" s="79">
        <f>IFERROR(__xludf.DUMMYFUNCTION("""COMPUTED_VALUE"""),11.133333333333333)</f>
        <v>11.13333333</v>
      </c>
      <c r="Y670" s="80" t="str">
        <f>IFERROR(__xludf.DUMMYFUNCTION("""COMPUTED_VALUE"""),"https://www.businesswire.com/news/home/20201007005323/en/Momentus-to-Become-Public-Through-Merger-With-Stable-Road-Acquisition-Corp.")</f>
        <v>https://www.businesswire.com/news/home/20201007005323/en/Momentus-to-Become-Public-Through-Merger-With-Stable-Road-Acquisition-Corp.</v>
      </c>
      <c r="Z670" s="81" t="str">
        <f>IFERROR(__xludf.DUMMYFUNCTION("""COMPUTED_VALUE"""),"https://www.sec.gov/Archives/edgar/data/1781162/000121390020030403/ea127854ex99-2_stableroad.htm")</f>
        <v>https://www.sec.gov/Archives/edgar/data/1781162/000121390020030403/ea127854ex99-2_stableroad.htm</v>
      </c>
      <c r="AA670" s="60">
        <f>IFERROR(__xludf.DUMMYFUNCTION("""COMPUTED_VALUE"""),1.75E8)</f>
        <v>175000000</v>
      </c>
      <c r="AB670" s="60">
        <f>IFERROR(__xludf.DUMMYFUNCTION("""COMPUTED_VALUE"""),1.512E9)</f>
        <v>1512000000</v>
      </c>
      <c r="AC670" s="60">
        <f>IFERROR(__xludf.DUMMYFUNCTION("""COMPUTED_VALUE"""),1.2E9)</f>
        <v>1200000000</v>
      </c>
      <c r="AD670" s="73"/>
      <c r="AE670" s="73"/>
      <c r="AF670" s="76">
        <f>IFERROR(__xludf.DUMMYFUNCTION("""COMPUTED_VALUE"""),1.512E8)</f>
        <v>151200000</v>
      </c>
      <c r="AG670" s="60">
        <f>IFERROR(__xludf.DUMMYFUNCTION("""COMPUTED_VALUE"""),1.80684E9)</f>
        <v>1806840000</v>
      </c>
    </row>
    <row r="671">
      <c r="A671" s="54" t="str">
        <f>IFERROR(__xludf.DUMMYFUNCTION("""COMPUTED_VALUE"""),"SRNG")</f>
        <v>SRNG</v>
      </c>
      <c r="B671" s="55" t="str">
        <f>IFERROR(__xludf.DUMMYFUNCTION("""COMPUTED_VALUE"""),"Soaring Eagle Acquisition Corp.")</f>
        <v>Soaring Eagle Acquisition Corp.</v>
      </c>
      <c r="C671" s="56" t="str">
        <f>IFERROR(__xludf.DUMMYFUNCTION("""COMPUTED_VALUE"""),"Searching (Pre Unit Split)")</f>
        <v>Searching (Pre Unit Split)</v>
      </c>
      <c r="D671" s="57"/>
      <c r="E671" s="58" t="str">
        <f>IFERROR(__xludf.DUMMYFUNCTION("""COMPUTED_VALUE"""),"[In talks (unconfirmed) with Ginkgo Bioworks: Per Bloomberg 4/9/21]")</f>
        <v>[In talks (unconfirmed) with Ginkgo Bioworks: Per Bloomberg 4/9/21]</v>
      </c>
      <c r="F671" s="59" t="str">
        <f>IFERROR(__xludf.DUMMYFUNCTION("""COMPUTED_VALUE"""),"Harry Sloan (Former CEO of MGM)")</f>
        <v>Harry Sloan (Former CEO of MGM)</v>
      </c>
      <c r="G671" s="60">
        <f>IFERROR(__xludf.DUMMYFUNCTION("""COMPUTED_VALUE"""),1.725E9)</f>
        <v>1725000000</v>
      </c>
      <c r="H671" s="60" t="str">
        <f>IFERROR(__xludf.DUMMYFUNCTION("""COMPUTED_VALUE""")," ")</f>
        <v> </v>
      </c>
      <c r="I671" s="66" t="str">
        <f>IFERROR(__xludf.DUMMYFUNCTION("""COMPUTED_VALUE""")," ")</f>
        <v> </v>
      </c>
      <c r="J671" s="62" t="str">
        <f>IFERROR(__xludf.DUMMYFUNCTION("""COMPUTED_VALUE""")," ")</f>
        <v> </v>
      </c>
      <c r="K671" s="59">
        <f>IFERROR(__xludf.DUMMYFUNCTION("""COMPUTED_VALUE"""),10.85)</f>
        <v>10.85</v>
      </c>
      <c r="L671" s="87" t="str">
        <f>IFERROR(__xludf.DUMMYFUNCTION("""COMPUTED_VALUE""")," ")</f>
        <v> </v>
      </c>
      <c r="M671" s="64" t="str">
        <f>IFERROR(__xludf.DUMMYFUNCTION("""COMPUTED_VALUE"""),"U: [1/5 W]; W: [1:1, $11.5]")</f>
        <v>U: [1/5 W]; W: [1:1, $11.5]</v>
      </c>
      <c r="N671" s="65">
        <f>IFERROR(__xludf.DUMMYFUNCTION("""COMPUTED_VALUE"""),44302.0)</f>
        <v>44302</v>
      </c>
      <c r="O671" s="66" t="str">
        <f>IFERROR(__xludf.DUMMYFUNCTION("""COMPUTED_VALUE"""),"")</f>
        <v/>
      </c>
      <c r="P671" s="67">
        <f>IFERROR(__xludf.DUMMYFUNCTION("""COMPUTED_VALUE"""),44250.0)</f>
        <v>44250</v>
      </c>
      <c r="Q671" s="68">
        <f>IFERROR(__xludf.DUMMYFUNCTION("""COMPUTED_VALUE"""),1725.0)</f>
        <v>1725</v>
      </c>
      <c r="R671" s="69" t="str">
        <f>IFERROR(__xludf.DUMMYFUNCTION("""COMPUTED_VALUE"""),"Goldman Sachs")</f>
        <v>Goldman Sachs</v>
      </c>
      <c r="S671" s="64">
        <f>IFERROR(__xludf.DUMMYFUNCTION("""COMPUTED_VALUE"""),44980.0)</f>
        <v>44980</v>
      </c>
      <c r="T671" s="70">
        <f>IFERROR(__xludf.DUMMYFUNCTION("""COMPUTED_VALUE"""),0.06301369863013699)</f>
        <v>0.06301369863</v>
      </c>
      <c r="U671" s="71" t="str">
        <f>IFERROR(__xludf.DUMMYFUNCTION("""COMPUTED_VALUE"""),"https://www.sec.gov/cgi-bin/browse-edgar?CIK=1830214")</f>
        <v>https://www.sec.gov/cgi-bin/browse-edgar?CIK=1830214</v>
      </c>
      <c r="V671" s="72" t="str">
        <f>IFERROR(__xludf.DUMMYFUNCTION("""COMPUTED_VALUE"""),"   $500M+ Trust     Well-known Sponsor Serial Sponsor Top Tier UW ")</f>
        <v>   $500M+ Trust     Well-known Sponsor Serial Sponsor Top Tier UW </v>
      </c>
      <c r="W671" s="73"/>
      <c r="X671" s="74"/>
      <c r="Y671" s="75"/>
      <c r="Z671" s="60"/>
      <c r="AA671" s="60"/>
      <c r="AB671" s="60"/>
      <c r="AC671" s="60"/>
      <c r="AD671" s="73"/>
      <c r="AE671" s="73"/>
      <c r="AF671" s="76"/>
      <c r="AG671" s="60" t="str">
        <f>IFERROR(__xludf.DUMMYFUNCTION("""COMPUTED_VALUE"""),"")</f>
        <v/>
      </c>
    </row>
    <row r="672">
      <c r="A672" s="54" t="str">
        <f>IFERROR(__xludf.DUMMYFUNCTION("""COMPUTED_VALUE"""),"SRSA")</f>
        <v>SRSA</v>
      </c>
      <c r="B672" s="55" t="str">
        <f>IFERROR(__xludf.DUMMYFUNCTION("""COMPUTED_VALUE"""),"Sarissa Capital Acquisition Corp.")</f>
        <v>Sarissa Capital Acquisition Corp.</v>
      </c>
      <c r="C672" s="56" t="str">
        <f>IFERROR(__xludf.DUMMYFUNCTION("""COMPUTED_VALUE"""),"Searching")</f>
        <v>Searching</v>
      </c>
      <c r="D672" s="57" t="str">
        <f>IFERROR(__xludf.DUMMYFUNCTION("""COMPUTED_VALUE"""),"Healthcare, Biopharma")</f>
        <v>Healthcare, Biopharma</v>
      </c>
      <c r="E672" s="58"/>
      <c r="F672" s="59"/>
      <c r="G672" s="60">
        <f>IFERROR(__xludf.DUMMYFUNCTION("""COMPUTED_VALUE"""),2.0E8)</f>
        <v>200000000</v>
      </c>
      <c r="H672" s="60">
        <f>IFERROR(__xludf.DUMMYFUNCTION("""COMPUTED_VALUE"""),2.048E8)</f>
        <v>204800000</v>
      </c>
      <c r="I672" s="66">
        <f>IFERROR(__xludf.DUMMYFUNCTION("""COMPUTED_VALUE"""),10.24)</f>
        <v>10.24</v>
      </c>
      <c r="J672" s="62">
        <f>IFERROR(__xludf.DUMMYFUNCTION("""COMPUTED_VALUE"""),0.01587)</f>
        <v>0.01587</v>
      </c>
      <c r="K672" s="59">
        <f>IFERROR(__xludf.DUMMYFUNCTION("""COMPUTED_VALUE"""),10.69)</f>
        <v>10.69</v>
      </c>
      <c r="L672" s="87">
        <f>IFERROR(__xludf.DUMMYFUNCTION("""COMPUTED_VALUE"""),1.45)</f>
        <v>1.45</v>
      </c>
      <c r="M672" s="64" t="str">
        <f>IFERROR(__xludf.DUMMYFUNCTION("""COMPUTED_VALUE"""),"U: [1/3 W]; W: [1:1, $11.5]")</f>
        <v>U: [1/3 W]; W: [1:1, $11.5]</v>
      </c>
      <c r="N672" s="65" t="str">
        <f>IFERROR(__xludf.DUMMYFUNCTION("""COMPUTED_VALUE"""),"")</f>
        <v/>
      </c>
      <c r="O672" s="66">
        <f>IFERROR(__xludf.DUMMYFUNCTION("""COMPUTED_VALUE"""),0.0)</f>
        <v>0</v>
      </c>
      <c r="P672" s="67">
        <f>IFERROR(__xludf.DUMMYFUNCTION("""COMPUTED_VALUE"""),44124.0)</f>
        <v>44124</v>
      </c>
      <c r="Q672" s="68">
        <f>IFERROR(__xludf.DUMMYFUNCTION("""COMPUTED_VALUE"""),200.0)</f>
        <v>200</v>
      </c>
      <c r="R672" s="69" t="str">
        <f>IFERROR(__xludf.DUMMYFUNCTION("""COMPUTED_VALUE"""),"Cantor")</f>
        <v>Cantor</v>
      </c>
      <c r="S672" s="64">
        <f>IFERROR(__xludf.DUMMYFUNCTION("""COMPUTED_VALUE"""),44854.0)</f>
        <v>44854</v>
      </c>
      <c r="T672" s="70">
        <f>IFERROR(__xludf.DUMMYFUNCTION("""COMPUTED_VALUE"""),0.2356164383561644)</f>
        <v>0.2356164384</v>
      </c>
      <c r="U672" s="71" t="str">
        <f>IFERROR(__xludf.DUMMYFUNCTION("""COMPUTED_VALUE"""),"https://www.sec.gov/cgi-bin/browse-edgar?CIK=1821682")</f>
        <v>https://www.sec.gov/cgi-bin/browse-edgar?CIK=1821682</v>
      </c>
      <c r="V672" s="72" t="str">
        <f>IFERROR(__xludf.DUMMYFUNCTION("""COMPUTED_VALUE"""),"            ")</f>
        <v>            </v>
      </c>
      <c r="W672" s="73"/>
      <c r="X672" s="74"/>
      <c r="Y672" s="75"/>
      <c r="Z672" s="60"/>
      <c r="AA672" s="60"/>
      <c r="AB672" s="60"/>
      <c r="AC672" s="60"/>
      <c r="AD672" s="73"/>
      <c r="AE672" s="73"/>
      <c r="AF672" s="76"/>
      <c r="AG672" s="60" t="str">
        <f>IFERROR(__xludf.DUMMYFUNCTION("""COMPUTED_VALUE"""),"")</f>
        <v/>
      </c>
    </row>
    <row r="673">
      <c r="A673" s="88" t="str">
        <f>IFERROR(__xludf.DUMMYFUNCTION("""COMPUTED_VALUE"""),"SRTN")</f>
        <v>SRTN</v>
      </c>
      <c r="B673" s="55" t="str">
        <f>IFERROR(__xludf.DUMMYFUNCTION("""COMPUTED_VALUE"""),"Spartan Acquisition Corp. IV")</f>
        <v>Spartan Acquisition Corp. IV</v>
      </c>
      <c r="C673" s="56" t="str">
        <f>IFERROR(__xludf.DUMMYFUNCTION("""COMPUTED_VALUE"""),"Pre IPO")</f>
        <v>Pre IPO</v>
      </c>
      <c r="D673" s="77" t="str">
        <f>IFERROR(__xludf.DUMMYFUNCTION("""COMPUTED_VALUE"""),"Energy with a particular focus on energy transition and sustainability")</f>
        <v>Energy with a particular focus on energy transition and sustainability</v>
      </c>
      <c r="E673" s="58"/>
      <c r="F673" s="59" t="str">
        <f>IFERROR(__xludf.DUMMYFUNCTION("""COMPUTED_VALUE"""),"Apollo")</f>
        <v>Apollo</v>
      </c>
      <c r="G673" s="60">
        <f>IFERROR(__xludf.DUMMYFUNCTION("""COMPUTED_VALUE"""),4.0E8)</f>
        <v>400000000</v>
      </c>
      <c r="H673" s="60" t="str">
        <f>IFERROR(__xludf.DUMMYFUNCTION("""COMPUTED_VALUE""")," ")</f>
        <v> </v>
      </c>
      <c r="I673" s="66" t="str">
        <f>IFERROR(__xludf.DUMMYFUNCTION("""COMPUTED_VALUE""")," ")</f>
        <v> </v>
      </c>
      <c r="J673" s="62" t="str">
        <f>IFERROR(__xludf.DUMMYFUNCTION("""COMPUTED_VALUE""")," ")</f>
        <v> </v>
      </c>
      <c r="K673" s="59" t="str">
        <f>IFERROR(__xludf.DUMMYFUNCTION("""COMPUTED_VALUE""")," ")</f>
        <v> </v>
      </c>
      <c r="L673" s="87" t="str">
        <f>IFERROR(__xludf.DUMMYFUNCTION("""COMPUTED_VALUE""")," ")</f>
        <v> </v>
      </c>
      <c r="M673" s="64" t="str">
        <f>IFERROR(__xludf.DUMMYFUNCTION("""COMPUTED_VALUE"""),"U: [1/5 W]; W: [1:1, $11.5]")</f>
        <v>U: [1/5 W]; W: [1:1, $11.5]</v>
      </c>
      <c r="N673" s="65" t="str">
        <f>IFERROR(__xludf.DUMMYFUNCTION("""COMPUTED_VALUE"""),"")</f>
        <v/>
      </c>
      <c r="O673" s="66">
        <f>IFERROR(__xludf.DUMMYFUNCTION("""COMPUTED_VALUE"""),0.0)</f>
        <v>0</v>
      </c>
      <c r="P673" s="67"/>
      <c r="Q673" s="68">
        <f>IFERROR(__xludf.DUMMYFUNCTION("""COMPUTED_VALUE"""),400.0)</f>
        <v>400</v>
      </c>
      <c r="R673" s="69" t="str">
        <f>IFERROR(__xludf.DUMMYFUNCTION("""COMPUTED_VALUE"""),"Goldman Sachs &amp; Co. LLC, Citigroup, Credit Suisse, J.P. Morgan, Barclays, RBC Capital Markets")</f>
        <v>Goldman Sachs &amp; Co. LLC, Citigroup, Credit Suisse, J.P. Morgan, Barclays, RBC Capital Markets</v>
      </c>
      <c r="S673" s="64">
        <f>IFERROR(__xludf.DUMMYFUNCTION("""COMPUTED_VALUE"""),45086.0)</f>
        <v>45086</v>
      </c>
      <c r="T673" s="70" t="str">
        <f>IFERROR(__xludf.DUMMYFUNCTION("""COMPUTED_VALUE"""),"")</f>
        <v/>
      </c>
      <c r="U673" s="71" t="str">
        <f>IFERROR(__xludf.DUMMYFUNCTION("""COMPUTED_VALUE"""),"https://www.sec.gov/cgi-bin/browse-edgar?CIK=1847999")</f>
        <v>https://www.sec.gov/cgi-bin/browse-edgar?CIK=1847999</v>
      </c>
      <c r="V673" s="72" t="str">
        <f>IFERROR(__xludf.DUMMYFUNCTION("""COMPUTED_VALUE"""),"         Well-known Sponsor Serial Sponsor Top Tier UW ")</f>
        <v>         Well-known Sponsor Serial Sponsor Top Tier UW </v>
      </c>
      <c r="W673" s="73"/>
      <c r="X673" s="74"/>
      <c r="Y673" s="75"/>
      <c r="Z673" s="60"/>
      <c r="AA673" s="60"/>
      <c r="AB673" s="60"/>
      <c r="AC673" s="60"/>
      <c r="AD673" s="73"/>
      <c r="AE673" s="73"/>
      <c r="AF673" s="76"/>
      <c r="AG673" s="60"/>
    </row>
    <row r="674">
      <c r="A674" s="54" t="str">
        <f>IFERROR(__xludf.DUMMYFUNCTION("""COMPUTED_VALUE"""),"SSAA")</f>
        <v>SSAA</v>
      </c>
      <c r="B674" s="55" t="str">
        <f>IFERROR(__xludf.DUMMYFUNCTION("""COMPUTED_VALUE"""),"Science Strategic Acquisition Corp. Alpha")</f>
        <v>Science Strategic Acquisition Corp. Alpha</v>
      </c>
      <c r="C674" s="56" t="str">
        <f>IFERROR(__xludf.DUMMYFUNCTION("""COMPUTED_VALUE"""),"Searching")</f>
        <v>Searching</v>
      </c>
      <c r="D674" s="57" t="str">
        <f>IFERROR(__xludf.DUMMYFUNCTION("""COMPUTED_VALUE"""),"Direct-to-consumer brands and services, Mobile and social entertainment")</f>
        <v>Direct-to-consumer brands and services, Mobile and social entertainment</v>
      </c>
      <c r="E674" s="58"/>
      <c r="F674" s="59" t="str">
        <f>IFERROR(__xludf.DUMMYFUNCTION("""COMPUTED_VALUE"""),"Michael Jones (Founder, Science Inc; Fmr CEO, MySpace), Jennifer Rubio (Co-founder/President, Away / JRSK)  ")</f>
        <v>Michael Jones (Founder, Science Inc; Fmr CEO, MySpace), Jennifer Rubio (Co-founder/President, Away / JRSK)  </v>
      </c>
      <c r="G674" s="60">
        <f>IFERROR(__xludf.DUMMYFUNCTION("""COMPUTED_VALUE"""),3.105E8)</f>
        <v>310500000</v>
      </c>
      <c r="H674" s="60">
        <f>IFERROR(__xludf.DUMMYFUNCTION("""COMPUTED_VALUE"""),3.06153E8)</f>
        <v>306153000</v>
      </c>
      <c r="I674" s="66">
        <f>IFERROR(__xludf.DUMMYFUNCTION("""COMPUTED_VALUE"""),9.86)</f>
        <v>9.86</v>
      </c>
      <c r="J674" s="62">
        <f>IFERROR(__xludf.DUMMYFUNCTION("""COMPUTED_VALUE"""),0.00612)</f>
        <v>0.00612</v>
      </c>
      <c r="K674" s="59">
        <f>IFERROR(__xludf.DUMMYFUNCTION("""COMPUTED_VALUE"""),10.08)</f>
        <v>10.08</v>
      </c>
      <c r="L674" s="87">
        <f>IFERROR(__xludf.DUMMYFUNCTION("""COMPUTED_VALUE"""),0.7)</f>
        <v>0.7</v>
      </c>
      <c r="M674" s="64" t="str">
        <f>IFERROR(__xludf.DUMMYFUNCTION("""COMPUTED_VALUE"""),"U: [1/3 W]; W: [1:1, $11.5]")</f>
        <v>U: [1/3 W]; W: [1:1, $11.5]</v>
      </c>
      <c r="N674" s="65" t="str">
        <f>IFERROR(__xludf.DUMMYFUNCTION("""COMPUTED_VALUE"""),"")</f>
        <v/>
      </c>
      <c r="O674" s="66">
        <f>IFERROR(__xludf.DUMMYFUNCTION("""COMPUTED_VALUE"""),0.0)</f>
        <v>0</v>
      </c>
      <c r="P674" s="67">
        <f>IFERROR(__xludf.DUMMYFUNCTION("""COMPUTED_VALUE"""),44221.0)</f>
        <v>44221</v>
      </c>
      <c r="Q674" s="68">
        <f>IFERROR(__xludf.DUMMYFUNCTION("""COMPUTED_VALUE"""),310.5)</f>
        <v>310.5</v>
      </c>
      <c r="R674" s="69" t="str">
        <f>IFERROR(__xludf.DUMMYFUNCTION("""COMPUTED_VALUE"""),"Credit Suisse")</f>
        <v>Credit Suisse</v>
      </c>
      <c r="S674" s="64">
        <f>IFERROR(__xludf.DUMMYFUNCTION("""COMPUTED_VALUE"""),44951.0)</f>
        <v>44951</v>
      </c>
      <c r="T674" s="70">
        <f>IFERROR(__xludf.DUMMYFUNCTION("""COMPUTED_VALUE"""),0.10273972602739725)</f>
        <v>0.102739726</v>
      </c>
      <c r="U674" s="71" t="str">
        <f>IFERROR(__xludf.DUMMYFUNCTION("""COMPUTED_VALUE"""),"https://www.sec.gov/cgi-bin/browse-edgar?CIK=1830547")</f>
        <v>https://www.sec.gov/cgi-bin/browse-edgar?CIK=1830547</v>
      </c>
      <c r="V674" s="72" t="str">
        <f>IFERROR(__xludf.DUMMYFUNCTION("""COMPUTED_VALUE""")," Trading Below $10 (Common)           ")</f>
        <v> Trading Below $10 (Common)           </v>
      </c>
      <c r="W674" s="73"/>
      <c r="X674" s="74"/>
      <c r="Y674" s="75"/>
      <c r="Z674" s="60"/>
      <c r="AA674" s="60"/>
      <c r="AB674" s="60"/>
      <c r="AC674" s="60"/>
      <c r="AD674" s="73"/>
      <c r="AE674" s="73"/>
      <c r="AF674" s="76"/>
      <c r="AG674" s="60" t="str">
        <f>IFERROR(__xludf.DUMMYFUNCTION("""COMPUTED_VALUE"""),"")</f>
        <v/>
      </c>
    </row>
    <row r="675">
      <c r="A675" s="54" t="str">
        <f>IFERROR(__xludf.DUMMYFUNCTION("""COMPUTED_VALUE"""),"SSPK")</f>
        <v>SSPK</v>
      </c>
      <c r="B675" s="55" t="str">
        <f>IFERROR(__xludf.DUMMYFUNCTION("""COMPUTED_VALUE"""),"Silver Spike Acquisition Corp")</f>
        <v>Silver Spike Acquisition Corp</v>
      </c>
      <c r="C675" s="56" t="str">
        <f>IFERROR(__xludf.DUMMYFUNCTION("""COMPUTED_VALUE"""),"Definitive Agreement")</f>
        <v>Definitive Agreement</v>
      </c>
      <c r="D675" s="57" t="str">
        <f>IFERROR(__xludf.DUMMYFUNCTION("""COMPUTED_VALUE"""),"Cannabis")</f>
        <v>Cannabis</v>
      </c>
      <c r="E675" s="58" t="str">
        <f>IFERROR(__xludf.DUMMYFUNCTION("""COMPUTED_VALUE"""),"WM Holding Company (Weedmaps) [DA: 12/10/20]")</f>
        <v>WM Holding Company (Weedmaps) [DA: 12/10/20]</v>
      </c>
      <c r="F675" s="59"/>
      <c r="G675" s="60">
        <f>IFERROR(__xludf.DUMMYFUNCTION("""COMPUTED_VALUE"""),2.54115791E8)</f>
        <v>254115791</v>
      </c>
      <c r="H675" s="60">
        <f>IFERROR(__xludf.DUMMYFUNCTION("""COMPUTED_VALUE"""),4.75472897E8)</f>
        <v>475472897</v>
      </c>
      <c r="I675" s="66">
        <f>IFERROR(__xludf.DUMMYFUNCTION("""COMPUTED_VALUE"""),19.02)</f>
        <v>19.02</v>
      </c>
      <c r="J675" s="62">
        <f>IFERROR(__xludf.DUMMYFUNCTION("""COMPUTED_VALUE"""),-0.01451)</f>
        <v>-0.01451</v>
      </c>
      <c r="K675" s="59">
        <f>IFERROR(__xludf.DUMMYFUNCTION("""COMPUTED_VALUE"""),24.0)</f>
        <v>24</v>
      </c>
      <c r="L675" s="87">
        <f>IFERROR(__xludf.DUMMYFUNCTION("""COMPUTED_VALUE"""),7.54)</f>
        <v>7.54</v>
      </c>
      <c r="M675" s="64" t="str">
        <f>IFERROR(__xludf.DUMMYFUNCTION("""COMPUTED_VALUE"""),"U: [1/2 W]; W: [1:1, $11.5]")</f>
        <v>U: [1/2 W]; W: [1:1, $11.5]</v>
      </c>
      <c r="N675" s="65" t="str">
        <f>IFERROR(__xludf.DUMMYFUNCTION("""COMPUTED_VALUE"""),"")</f>
        <v/>
      </c>
      <c r="O675" s="66">
        <f>IFERROR(__xludf.DUMMYFUNCTION("""COMPUTED_VALUE"""),7.52)</f>
        <v>7.52</v>
      </c>
      <c r="P675" s="67">
        <f>IFERROR(__xludf.DUMMYFUNCTION("""COMPUTED_VALUE"""),43684.0)</f>
        <v>43684</v>
      </c>
      <c r="Q675" s="68">
        <f>IFERROR(__xludf.DUMMYFUNCTION("""COMPUTED_VALUE"""),250.0)</f>
        <v>250</v>
      </c>
      <c r="R675" s="69" t="str">
        <f>IFERROR(__xludf.DUMMYFUNCTION("""COMPUTED_VALUE"""),"Credit Suisse, I-Bankers")</f>
        <v>Credit Suisse, I-Bankers</v>
      </c>
      <c r="S675" s="64">
        <f>IFERROR(__xludf.DUMMYFUNCTION("""COMPUTED_VALUE"""),44387.0)</f>
        <v>44387</v>
      </c>
      <c r="T675" s="70">
        <f>IFERROR(__xludf.DUMMYFUNCTION("""COMPUTED_VALUE"""),0.8705547652916074)</f>
        <v>0.8705547653</v>
      </c>
      <c r="U675" s="71" t="str">
        <f>IFERROR(__xludf.DUMMYFUNCTION("""COMPUTED_VALUE"""),"https://www.sec.gov/cgi-bin/browse-edgar?CIK=1779474")</f>
        <v>https://www.sec.gov/cgi-bin/browse-edgar?CIK=1779474</v>
      </c>
      <c r="V675" s="72" t="str">
        <f>IFERROR(__xludf.DUMMYFUNCTION("""COMPUTED_VALUE"""),"     Optionable       ")</f>
        <v>     Optionable       </v>
      </c>
      <c r="W675" s="73">
        <f>IFERROR(__xludf.DUMMYFUNCTION("""COMPUTED_VALUE"""),44175.0)</f>
        <v>44175</v>
      </c>
      <c r="X675" s="79">
        <f>IFERROR(__xludf.DUMMYFUNCTION("""COMPUTED_VALUE"""),16.366666666666667)</f>
        <v>16.36666667</v>
      </c>
      <c r="Y675" s="80" t="str">
        <f>IFERROR(__xludf.DUMMYFUNCTION("""COMPUTED_VALUE"""),"https://www.businesswire.com/news/home/20201210005302/en/WM-Holding-Company-LLC-the-Leading-Technology-Platform-to-the-Cannabis-Industry-to-List-on-Nasdaq-Through-Merger-With-Silver-Spike-Acquisition-Corp")</f>
        <v>https://www.businesswire.com/news/home/20201210005302/en/WM-Holding-Company-LLC-the-Leading-Technology-Platform-to-the-Cannabis-Industry-to-List-on-Nasdaq-Through-Merger-With-Silver-Spike-Acquisition-Corp</v>
      </c>
      <c r="Z675" s="81" t="str">
        <f>IFERROR(__xludf.DUMMYFUNCTION("""COMPUTED_VALUE"""),"https://www.sec.gov/Archives/edgar/data/1779474/000095010320024045/dp142700_ex9902.htm")</f>
        <v>https://www.sec.gov/Archives/edgar/data/1779474/000095010320024045/dp142700_ex9902.htm</v>
      </c>
      <c r="AA675" s="60">
        <f>IFERROR(__xludf.DUMMYFUNCTION("""COMPUTED_VALUE"""),3.25E8)</f>
        <v>325000000</v>
      </c>
      <c r="AB675" s="60">
        <f>IFERROR(__xludf.DUMMYFUNCTION("""COMPUTED_VALUE"""),1.498E9)</f>
        <v>1498000000</v>
      </c>
      <c r="AC675" s="60">
        <f>IFERROR(__xludf.DUMMYFUNCTION("""COMPUTED_VALUE"""),1.398E9)</f>
        <v>1398000000</v>
      </c>
      <c r="AD675" s="73"/>
      <c r="AE675" s="73"/>
      <c r="AF675" s="76">
        <f>IFERROR(__xludf.DUMMYFUNCTION("""COMPUTED_VALUE"""),1.498E8)</f>
        <v>149800000</v>
      </c>
      <c r="AG675" s="60">
        <f>IFERROR(__xludf.DUMMYFUNCTION("""COMPUTED_VALUE"""),2.849196E9)</f>
        <v>2849196000</v>
      </c>
    </row>
    <row r="676">
      <c r="A676" s="54" t="str">
        <f>IFERROR(__xludf.DUMMYFUNCTION("""COMPUTED_VALUE"""),"STIC")</f>
        <v>STIC</v>
      </c>
      <c r="B676" s="55" t="str">
        <f>IFERROR(__xludf.DUMMYFUNCTION("""COMPUTED_VALUE"""),"Northern Star Acquisition Corp.")</f>
        <v>Northern Star Acquisition Corp.</v>
      </c>
      <c r="C676" s="56" t="str">
        <f>IFERROR(__xludf.DUMMYFUNCTION("""COMPUTED_VALUE"""),"Definitive Agreement")</f>
        <v>Definitive Agreement</v>
      </c>
      <c r="D676" s="57" t="str">
        <f>IFERROR(__xludf.DUMMYFUNCTION("""COMPUTED_VALUE"""),"Beauty, wellness, self-care, fashion, e-commerce, digital media")</f>
        <v>Beauty, wellness, self-care, fashion, e-commerce, digital media</v>
      </c>
      <c r="E676" s="58" t="str">
        <f>IFERROR(__xludf.DUMMYFUNCTION("""COMPUTED_VALUE"""),"BarkBox [DA: 12/17/20]")</f>
        <v>BarkBox [DA: 12/17/20]</v>
      </c>
      <c r="F676" s="59" t="str">
        <f>IFERROR(__xludf.DUMMYFUNCTION("""COMPUTED_VALUE"""),"Jonathan Ledecky (Co-owner New York Islanders; CEO, PIC), Joanna Coles (Fmr Editor-in-Chief, Cosmopolitan; Director, 
Snapchat and Sonos), Valerie Jarrett (Sr. Advisor, Obama Foundation; Fmr Sr. Advisor to President Obama)")</f>
        <v>Jonathan Ledecky (Co-owner New York Islanders; CEO, PIC), Joanna Coles (Fmr Editor-in-Chief, Cosmopolitan; Director, 
Snapchat and Sonos), Valerie Jarrett (Sr. Advisor, Obama Foundation; Fmr Sr. Advisor to President Obama)</v>
      </c>
      <c r="G676" s="60">
        <f>IFERROR(__xludf.DUMMYFUNCTION("""COMPUTED_VALUE"""),2.5435E8)</f>
        <v>254350000</v>
      </c>
      <c r="H676" s="60">
        <f>IFERROR(__xludf.DUMMYFUNCTION("""COMPUTED_VALUE"""),2.904677E8)</f>
        <v>290467700</v>
      </c>
      <c r="I676" s="66">
        <f>IFERROR(__xludf.DUMMYFUNCTION("""COMPUTED_VALUE"""),11.42)</f>
        <v>11.42</v>
      </c>
      <c r="J676" s="62">
        <f>IFERROR(__xludf.DUMMYFUNCTION("""COMPUTED_VALUE"""),0.01062)</f>
        <v>0.01062</v>
      </c>
      <c r="K676" s="59">
        <f>IFERROR(__xludf.DUMMYFUNCTION("""COMPUTED_VALUE"""),12.3)</f>
        <v>12.3</v>
      </c>
      <c r="L676" s="87">
        <f>IFERROR(__xludf.DUMMYFUNCTION("""COMPUTED_VALUE"""),3.34)</f>
        <v>3.34</v>
      </c>
      <c r="M676" s="64" t="str">
        <f>IFERROR(__xludf.DUMMYFUNCTION("""COMPUTED_VALUE"""),"U: [1/3 W]; W: [1:1, $11.5]")</f>
        <v>U: [1/3 W]; W: [1:1, $11.5]</v>
      </c>
      <c r="N676" s="65" t="str">
        <f>IFERROR(__xludf.DUMMYFUNCTION("""COMPUTED_VALUE"""),"")</f>
        <v/>
      </c>
      <c r="O676" s="66">
        <f>IFERROR(__xludf.DUMMYFUNCTION("""COMPUTED_VALUE"""),0.0)</f>
        <v>0</v>
      </c>
      <c r="P676" s="67">
        <f>IFERROR(__xludf.DUMMYFUNCTION("""COMPUTED_VALUE"""),44145.0)</f>
        <v>44145</v>
      </c>
      <c r="Q676" s="68">
        <f>IFERROR(__xludf.DUMMYFUNCTION("""COMPUTED_VALUE"""),254.35)</f>
        <v>254.35</v>
      </c>
      <c r="R676" s="69" t="str">
        <f>IFERROR(__xludf.DUMMYFUNCTION("""COMPUTED_VALUE"""),"Citigroup")</f>
        <v>Citigroup</v>
      </c>
      <c r="S676" s="64">
        <f>IFERROR(__xludf.DUMMYFUNCTION("""COMPUTED_VALUE"""),44875.0)</f>
        <v>44875</v>
      </c>
      <c r="T676" s="70">
        <f>IFERROR(__xludf.DUMMYFUNCTION("""COMPUTED_VALUE"""),0.20684931506849316)</f>
        <v>0.2068493151</v>
      </c>
      <c r="U676" s="71" t="str">
        <f>IFERROR(__xludf.DUMMYFUNCTION("""COMPUTED_VALUE"""),"https://www.sec.gov/cgi-bin/browse-edgar?CIK=1819574")</f>
        <v>https://www.sec.gov/cgi-bin/browse-edgar?CIK=1819574</v>
      </c>
      <c r="V676" s="72" t="str">
        <f>IFERROR(__xludf.DUMMYFUNCTION("""COMPUTED_VALUE"""),"     Optionable    Well-known Sponsor Serial Sponsor Top Tier UW ")</f>
        <v>     Optionable    Well-known Sponsor Serial Sponsor Top Tier UW </v>
      </c>
      <c r="W676" s="73">
        <f>IFERROR(__xludf.DUMMYFUNCTION("""COMPUTED_VALUE"""),44182.0)</f>
        <v>44182</v>
      </c>
      <c r="X676" s="79">
        <f>IFERROR(__xludf.DUMMYFUNCTION("""COMPUTED_VALUE"""),1.2333333333333334)</f>
        <v>1.233333333</v>
      </c>
      <c r="Y676" s="80" t="str">
        <f>IFERROR(__xludf.DUMMYFUNCTION("""COMPUTED_VALUE"""),"https://www.prnewswire.com/news-releases/bark-a-leading-brand-for-dogs-to-list-on-nyse-through-merger-with-northern-star-acquisition-corp-301194826.html")</f>
        <v>https://www.prnewswire.com/news-releases/bark-a-leading-brand-for-dogs-to-list-on-nyse-through-merger-with-northern-star-acquisition-corp-301194826.html</v>
      </c>
      <c r="Z676" s="81" t="str">
        <f>IFERROR(__xludf.DUMMYFUNCTION("""COMPUTED_VALUE"""),"https://www.sec.gov/Archives/edgar/data/1819574/000119312520319637/d93086dex992.htm")</f>
        <v>https://www.sec.gov/Archives/edgar/data/1819574/000119312520319637/d93086dex992.htm</v>
      </c>
      <c r="AA676" s="60">
        <f>IFERROR(__xludf.DUMMYFUNCTION("""COMPUTED_VALUE"""),2.0E8)</f>
        <v>200000000</v>
      </c>
      <c r="AB676" s="60">
        <f>IFERROR(__xludf.DUMMYFUNCTION("""COMPUTED_VALUE"""),2.018E9)</f>
        <v>2018000000</v>
      </c>
      <c r="AC676" s="60">
        <f>IFERROR(__xludf.DUMMYFUNCTION("""COMPUTED_VALUE"""),1.642E9)</f>
        <v>1642000000</v>
      </c>
      <c r="AD676" s="73"/>
      <c r="AE676" s="73"/>
      <c r="AF676" s="76">
        <f>IFERROR(__xludf.DUMMYFUNCTION("""COMPUTED_VALUE"""),2.018E8)</f>
        <v>201800000</v>
      </c>
      <c r="AG676" s="60">
        <f>IFERROR(__xludf.DUMMYFUNCTION("""COMPUTED_VALUE"""),2.304556E9)</f>
        <v>2304556000</v>
      </c>
    </row>
    <row r="677">
      <c r="A677" s="88" t="str">
        <f>IFERROR(__xludf.DUMMYFUNCTION("""COMPUTED_VALUE"""),"STLRA")</f>
        <v>STLRA</v>
      </c>
      <c r="B677" s="55" t="str">
        <f>IFERROR(__xludf.DUMMYFUNCTION("""COMPUTED_VALUE"""),"Stellaris Growth Acquisition Corp.")</f>
        <v>Stellaris Growth Acquisition Corp.</v>
      </c>
      <c r="C677" s="56" t="str">
        <f>IFERROR(__xludf.DUMMYFUNCTION("""COMPUTED_VALUE"""),"Pre IPO")</f>
        <v>Pre IPO</v>
      </c>
      <c r="D677" s="57"/>
      <c r="E677" s="58"/>
      <c r="F677" s="59" t="str">
        <f>IFERROR(__xludf.DUMMYFUNCTION("""COMPUTED_VALUE"""),"Data Centers and Internet Tech")</f>
        <v>Data Centers and Internet Tech</v>
      </c>
      <c r="G677" s="60">
        <f>IFERROR(__xludf.DUMMYFUNCTION("""COMPUTED_VALUE"""),1.28E8)</f>
        <v>128000000</v>
      </c>
      <c r="H677" s="60" t="str">
        <f>IFERROR(__xludf.DUMMYFUNCTION("""COMPUTED_VALUE""")," ")</f>
        <v> </v>
      </c>
      <c r="I677" s="66" t="str">
        <f>IFERROR(__xludf.DUMMYFUNCTION("""COMPUTED_VALUE""")," ")</f>
        <v> </v>
      </c>
      <c r="J677" s="62" t="str">
        <f>IFERROR(__xludf.DUMMYFUNCTION("""COMPUTED_VALUE""")," ")</f>
        <v> </v>
      </c>
      <c r="K677" s="59" t="str">
        <f>IFERROR(__xludf.DUMMYFUNCTION("""COMPUTED_VALUE""")," ")</f>
        <v> </v>
      </c>
      <c r="L677" s="87" t="str">
        <f>IFERROR(__xludf.DUMMYFUNCTION("""COMPUTED_VALUE""")," ")</f>
        <v> </v>
      </c>
      <c r="M677" s="64" t="str">
        <f>IFERROR(__xludf.DUMMYFUNCTION("""COMPUTED_VALUE"""),"U: [1/2 W, 1 R (1/10 sh)]; W: [1:1, $11.5]")</f>
        <v>U: [1/2 W, 1 R (1/10 sh)]; W: [1:1, $11.5]</v>
      </c>
      <c r="N677" s="65" t="str">
        <f>IFERROR(__xludf.DUMMYFUNCTION("""COMPUTED_VALUE"""),"")</f>
        <v/>
      </c>
      <c r="O677" s="66">
        <f>IFERROR(__xludf.DUMMYFUNCTION("""COMPUTED_VALUE"""),0.0)</f>
        <v>0</v>
      </c>
      <c r="P677" s="67"/>
      <c r="Q677" s="68">
        <f>IFERROR(__xludf.DUMMYFUNCTION("""COMPUTED_VALUE"""),128.0)</f>
        <v>128</v>
      </c>
      <c r="R677" s="69" t="str">
        <f>IFERROR(__xludf.DUMMYFUNCTION("""COMPUTED_VALUE"""),"Kingswood Capital Markets")</f>
        <v>Kingswood Capital Markets</v>
      </c>
      <c r="S677" s="64">
        <f>IFERROR(__xludf.DUMMYFUNCTION("""COMPUTED_VALUE"""),45086.0)</f>
        <v>45086</v>
      </c>
      <c r="T677" s="70" t="str">
        <f>IFERROR(__xludf.DUMMYFUNCTION("""COMPUTED_VALUE"""),"")</f>
        <v/>
      </c>
      <c r="U677" s="71" t="str">
        <f>IFERROR(__xludf.DUMMYFUNCTION("""COMPUTED_VALUE"""),"https://www.sec.gov/cgi-bin/browse-edgar?CIK=1849543")</f>
        <v>https://www.sec.gov/cgi-bin/browse-edgar?CIK=1849543</v>
      </c>
      <c r="V677" s="72" t="str">
        <f>IFERROR(__xludf.DUMMYFUNCTION("""COMPUTED_VALUE"""),"       Rights     ")</f>
        <v>       Rights     </v>
      </c>
      <c r="W677" s="73"/>
      <c r="X677" s="74"/>
      <c r="Y677" s="75"/>
      <c r="Z677" s="60"/>
      <c r="AA677" s="60"/>
      <c r="AB677" s="60"/>
      <c r="AC677" s="60"/>
      <c r="AD677" s="73"/>
      <c r="AE677" s="73"/>
      <c r="AF677" s="76"/>
      <c r="AG677" s="60"/>
    </row>
    <row r="678">
      <c r="A678" s="54" t="str">
        <f>IFERROR(__xludf.DUMMYFUNCTION("""COMPUTED_VALUE"""),"STPC")</f>
        <v>STPC</v>
      </c>
      <c r="B678" s="55" t="str">
        <f>IFERROR(__xludf.DUMMYFUNCTION("""COMPUTED_VALUE"""),"Star Peak Corp II")</f>
        <v>Star Peak Corp II</v>
      </c>
      <c r="C678" s="56" t="str">
        <f>IFERROR(__xludf.DUMMYFUNCTION("""COMPUTED_VALUE"""),"Searching")</f>
        <v>Searching</v>
      </c>
      <c r="D678" s="57" t="str">
        <f>IFERROR(__xludf.DUMMYFUNCTION("""COMPUTED_VALUE"""),"Sustainability (including clean energy and power, sustainable food &amp; agriculture, transportation, resource management)")</f>
        <v>Sustainability (including clean energy and power, sustainable food &amp; agriculture, transportation, resource management)</v>
      </c>
      <c r="E678" s="58"/>
      <c r="F678" s="59" t="str">
        <f>IFERROR(__xludf.DUMMYFUNCTION("""COMPUTED_VALUE"""),"Michael C. Morgan (Lead Director, Kinder Morgan), Alec Litowitz (Founder/CEO, Magnetar Capital; Fmr Principal, Citadel Investment Group)")</f>
        <v>Michael C. Morgan (Lead Director, Kinder Morgan), Alec Litowitz (Founder/CEO, Magnetar Capital; Fmr Principal, Citadel Investment Group)</v>
      </c>
      <c r="G678" s="60">
        <f>IFERROR(__xludf.DUMMYFUNCTION("""COMPUTED_VALUE"""),4.025E8)</f>
        <v>402500000</v>
      </c>
      <c r="H678" s="60">
        <f>IFERROR(__xludf.DUMMYFUNCTION("""COMPUTED_VALUE"""),4.198075E8)</f>
        <v>419807500</v>
      </c>
      <c r="I678" s="66">
        <f>IFERROR(__xludf.DUMMYFUNCTION("""COMPUTED_VALUE"""),10.43)</f>
        <v>10.43</v>
      </c>
      <c r="J678" s="62">
        <f>IFERROR(__xludf.DUMMYFUNCTION("""COMPUTED_VALUE"""),0.0087)</f>
        <v>0.0087</v>
      </c>
      <c r="K678" s="59">
        <f>IFERROR(__xludf.DUMMYFUNCTION("""COMPUTED_VALUE"""),10.94)</f>
        <v>10.94</v>
      </c>
      <c r="L678" s="87" t="str">
        <f>IFERROR(__xludf.DUMMYFUNCTION("""COMPUTED_VALUE""")," ")</f>
        <v> </v>
      </c>
      <c r="M678" s="64" t="str">
        <f>IFERROR(__xludf.DUMMYFUNCTION("""COMPUTED_VALUE"""),"U: [1/4 W]; W: [1:1, $11.5]")</f>
        <v>U: [1/4 W]; W: [1:1, $11.5]</v>
      </c>
      <c r="N678" s="65" t="str">
        <f>IFERROR(__xludf.DUMMYFUNCTION("""COMPUTED_VALUE"""),"")</f>
        <v/>
      </c>
      <c r="O678" s="66">
        <f>IFERROR(__xludf.DUMMYFUNCTION("""COMPUTED_VALUE"""),0.0)</f>
        <v>0</v>
      </c>
      <c r="P678" s="67">
        <f>IFERROR(__xludf.DUMMYFUNCTION("""COMPUTED_VALUE"""),44201.0)</f>
        <v>44201</v>
      </c>
      <c r="Q678" s="68">
        <f>IFERROR(__xludf.DUMMYFUNCTION("""COMPUTED_VALUE"""),402.5)</f>
        <v>402.5</v>
      </c>
      <c r="R678" s="69" t="str">
        <f>IFERROR(__xludf.DUMMYFUNCTION("""COMPUTED_VALUE"""),"Credit Suisse, Goldman Sachs")</f>
        <v>Credit Suisse, Goldman Sachs</v>
      </c>
      <c r="S678" s="64">
        <f>IFERROR(__xludf.DUMMYFUNCTION("""COMPUTED_VALUE"""),44931.0)</f>
        <v>44931</v>
      </c>
      <c r="T678" s="70">
        <f>IFERROR(__xludf.DUMMYFUNCTION("""COMPUTED_VALUE"""),0.13013698630136986)</f>
        <v>0.1301369863</v>
      </c>
      <c r="U678" s="71" t="str">
        <f>IFERROR(__xludf.DUMMYFUNCTION("""COMPUTED_VALUE"""),"https://www.sec.gov/cgi-bin/browse-edgar?CIK=1830210")</f>
        <v>https://www.sec.gov/cgi-bin/browse-edgar?CIK=1830210</v>
      </c>
      <c r="V678" s="72" t="str">
        <f>IFERROR(__xludf.DUMMYFUNCTION("""COMPUTED_VALUE"""),"           Top Tier UW ")</f>
        <v>           Top Tier UW </v>
      </c>
      <c r="W678" s="73"/>
      <c r="X678" s="74"/>
      <c r="Y678" s="75"/>
      <c r="Z678" s="60"/>
      <c r="AA678" s="60"/>
      <c r="AB678" s="60"/>
      <c r="AC678" s="60"/>
      <c r="AD678" s="73"/>
      <c r="AE678" s="73"/>
      <c r="AF678" s="76"/>
      <c r="AG678" s="60" t="str">
        <f>IFERROR(__xludf.DUMMYFUNCTION("""COMPUTED_VALUE"""),"")</f>
        <v/>
      </c>
    </row>
    <row r="679">
      <c r="A679" s="54" t="str">
        <f>IFERROR(__xludf.DUMMYFUNCTION("""COMPUTED_VALUE"""),"STPK")</f>
        <v>STPK</v>
      </c>
      <c r="B679" s="55" t="str">
        <f>IFERROR(__xludf.DUMMYFUNCTION("""COMPUTED_VALUE"""),"Star Peak Energy Transition Corp")</f>
        <v>Star Peak Energy Transition Corp</v>
      </c>
      <c r="C679" s="56" t="str">
        <f>IFERROR(__xludf.DUMMYFUNCTION("""COMPUTED_VALUE"""),"Definitive Agreement")</f>
        <v>Definitive Agreement</v>
      </c>
      <c r="D679" s="57" t="str">
        <f>IFERROR(__xludf.DUMMYFUNCTION("""COMPUTED_VALUE"""),"Renewable Energy, Energy Transition Infrastructure")</f>
        <v>Renewable Energy, Energy Transition Infrastructure</v>
      </c>
      <c r="E679" s="58" t="str">
        <f>IFERROR(__xludf.DUMMYFUNCTION("""COMPUTED_VALUE"""),"Stem Inc [DA: 12/04/20]")</f>
        <v>Stem Inc [DA: 12/04/20]</v>
      </c>
      <c r="F679" s="59" t="str">
        <f>IFERROR(__xludf.DUMMYFUNCTION("""COMPUTED_VALUE"""),"Michael C. Morgan (Lead Director, Kinder Morgan)")</f>
        <v>Michael C. Morgan (Lead Director, Kinder Morgan)</v>
      </c>
      <c r="G679" s="60">
        <f>IFERROR(__xludf.DUMMYFUNCTION("""COMPUTED_VALUE"""),3.83603554E8)</f>
        <v>383603554</v>
      </c>
      <c r="H679" s="60">
        <f>IFERROR(__xludf.DUMMYFUNCTION("""COMPUTED_VALUE"""),1.194483815E9)</f>
        <v>1194483815</v>
      </c>
      <c r="I679" s="66">
        <f>IFERROR(__xludf.DUMMYFUNCTION("""COMPUTED_VALUE"""),31.14)</f>
        <v>31.14</v>
      </c>
      <c r="J679" s="62">
        <f>IFERROR(__xludf.DUMMYFUNCTION("""COMPUTED_VALUE"""),0.06754)</f>
        <v>0.06754</v>
      </c>
      <c r="K679" s="59">
        <f>IFERROR(__xludf.DUMMYFUNCTION("""COMPUTED_VALUE"""),37.5349)</f>
        <v>37.5349</v>
      </c>
      <c r="L679" s="87">
        <f>IFERROR(__xludf.DUMMYFUNCTION("""COMPUTED_VALUE"""),18.28)</f>
        <v>18.28</v>
      </c>
      <c r="M679" s="64" t="str">
        <f>IFERROR(__xludf.DUMMYFUNCTION("""COMPUTED_VALUE"""),"U: [1/3 W]; W: [1:1, $11.5]")</f>
        <v>U: [1/3 W]; W: [1:1, $11.5]</v>
      </c>
      <c r="N679" s="65" t="str">
        <f>IFERROR(__xludf.DUMMYFUNCTION("""COMPUTED_VALUE"""),"")</f>
        <v/>
      </c>
      <c r="O679" s="66">
        <f>IFERROR(__xludf.DUMMYFUNCTION("""COMPUTED_VALUE"""),19.64)</f>
        <v>19.64</v>
      </c>
      <c r="P679" s="67">
        <f>IFERROR(__xludf.DUMMYFUNCTION("""COMPUTED_VALUE"""),44060.0)</f>
        <v>44060</v>
      </c>
      <c r="Q679" s="68">
        <f>IFERROR(__xludf.DUMMYFUNCTION("""COMPUTED_VALUE"""),384.3)</f>
        <v>384.3</v>
      </c>
      <c r="R679" s="69" t="str">
        <f>IFERROR(__xludf.DUMMYFUNCTION("""COMPUTED_VALUE"""),"Credit Suisse, Goldman Sachs")</f>
        <v>Credit Suisse, Goldman Sachs</v>
      </c>
      <c r="S679" s="64">
        <f>IFERROR(__xludf.DUMMYFUNCTION("""COMPUTED_VALUE"""),44790.0)</f>
        <v>44790</v>
      </c>
      <c r="T679" s="70">
        <f>IFERROR(__xludf.DUMMYFUNCTION("""COMPUTED_VALUE"""),0.3232876712328767)</f>
        <v>0.3232876712</v>
      </c>
      <c r="U679" s="71" t="str">
        <f>IFERROR(__xludf.DUMMYFUNCTION("""COMPUTED_VALUE"""),"https://www.sec.gov/cgi-bin/browse-edgar?CIK=1758766")</f>
        <v>https://www.sec.gov/cgi-bin/browse-edgar?CIK=1758766</v>
      </c>
      <c r="V679" s="72" t="str">
        <f>IFERROR(__xludf.DUMMYFUNCTION("""COMPUTED_VALUE"""),"Sustainability     Optionable      Top Tier UW ")</f>
        <v>Sustainability     Optionable      Top Tier UW </v>
      </c>
      <c r="W679" s="73">
        <f>IFERROR(__xludf.DUMMYFUNCTION("""COMPUTED_VALUE"""),44169.0)</f>
        <v>44169</v>
      </c>
      <c r="X679" s="79">
        <f>IFERROR(__xludf.DUMMYFUNCTION("""COMPUTED_VALUE"""),3.6333333333333333)</f>
        <v>3.633333333</v>
      </c>
      <c r="Y679" s="80" t="str">
        <f>IFERROR(__xludf.DUMMYFUNCTION("""COMPUTED_VALUE"""),"https://www.businesswire.com/news/home/20201204005244/en/Stem-Inc.-%E2%80%93-Market-Leader-in-AI-Driven-Clean-Energy-Storage-Systems-%E2%80%93-to-Combine-with-Star-Peak-Creating-First-Public-Pure-Play-Smart-Energy-Storage-Company")</f>
        <v>https://www.businesswire.com/news/home/20201204005244/en/Stem-Inc.-%E2%80%93-Market-Leader-in-AI-Driven-Clean-Energy-Storage-Systems-%E2%80%93-to-Combine-with-Star-Peak-Creating-First-Public-Pure-Play-Smart-Energy-Storage-Company</v>
      </c>
      <c r="Z679" s="81" t="str">
        <f>IFERROR(__xludf.DUMMYFUNCTION("""COMPUTED_VALUE"""),"https://www.sec.gov/Archives/edgar/data/1758766/000110465920132220/tm2037633d1_ex99-2.htm")</f>
        <v>https://www.sec.gov/Archives/edgar/data/1758766/000110465920132220/tm2037633d1_ex99-2.htm</v>
      </c>
      <c r="AA679" s="60">
        <f>IFERROR(__xludf.DUMMYFUNCTION("""COMPUTED_VALUE"""),2.25E8)</f>
        <v>225000000</v>
      </c>
      <c r="AB679" s="60">
        <f>IFERROR(__xludf.DUMMYFUNCTION("""COMPUTED_VALUE"""),1.354E9)</f>
        <v>1354000000</v>
      </c>
      <c r="AC679" s="60">
        <f>IFERROR(__xludf.DUMMYFUNCTION("""COMPUTED_VALUE"""),8.29E8)</f>
        <v>829000000</v>
      </c>
      <c r="AD679" s="73">
        <f>IFERROR(__xludf.DUMMYFUNCTION("""COMPUTED_VALUE"""),44313.0)</f>
        <v>44313</v>
      </c>
      <c r="AE679" s="73"/>
      <c r="AF679" s="76">
        <f>IFERROR(__xludf.DUMMYFUNCTION("""COMPUTED_VALUE"""),1.354E8)</f>
        <v>135400000</v>
      </c>
      <c r="AG679" s="60">
        <f>IFERROR(__xludf.DUMMYFUNCTION("""COMPUTED_VALUE"""),4.216356E9)</f>
        <v>4216356000</v>
      </c>
    </row>
    <row r="680">
      <c r="A680" s="88" t="str">
        <f>IFERROR(__xludf.DUMMYFUNCTION("""COMPUTED_VALUE"""),"STRE")</f>
        <v>STRE</v>
      </c>
      <c r="B680" s="55" t="str">
        <f>IFERROR(__xludf.DUMMYFUNCTION("""COMPUTED_VALUE"""),"Supernova Partners Acquisition Co III, Ltd.")</f>
        <v>Supernova Partners Acquisition Co III, Ltd.</v>
      </c>
      <c r="C680" s="56" t="str">
        <f>IFERROR(__xludf.DUMMYFUNCTION("""COMPUTED_VALUE"""),"Searching (Pre Unit Split)")</f>
        <v>Searching (Pre Unit Split)</v>
      </c>
      <c r="D680" s="57" t="str">
        <f>IFERROR(__xludf.DUMMYFUNCTION("""COMPUTED_VALUE"""),"Tech (Internet, Consumer, Media)")</f>
        <v>Tech (Internet, Consumer, Media)</v>
      </c>
      <c r="E680" s="58"/>
      <c r="F680" s="59" t="str">
        <f>IFERROR(__xludf.DUMMYFUNCTION("""COMPUTED_VALUE"""),"Spencer Rascoff (Co-founder/ Fmr CEO, Zillow, Co-founder, Hotwire; Director, Palantir), Alexander Klabin (Co-founder, Senator Investment Group; Exec Chairman, Sotheby’s Financial Services)")</f>
        <v>Spencer Rascoff (Co-founder/ Fmr CEO, Zillow, Co-founder, Hotwire; Director, Palantir), Alexander Klabin (Co-founder, Senator Investment Group; Exec Chairman, Sotheby’s Financial Services)</v>
      </c>
      <c r="G680" s="60">
        <f>IFERROR(__xludf.DUMMYFUNCTION("""COMPUTED_VALUE"""),2.5E8)</f>
        <v>250000000</v>
      </c>
      <c r="H680" s="60" t="str">
        <f>IFERROR(__xludf.DUMMYFUNCTION("""COMPUTED_VALUE""")," ")</f>
        <v> </v>
      </c>
      <c r="I680" s="66" t="str">
        <f>IFERROR(__xludf.DUMMYFUNCTION("""COMPUTED_VALUE""")," ")</f>
        <v> </v>
      </c>
      <c r="J680" s="62" t="str">
        <f>IFERROR(__xludf.DUMMYFUNCTION("""COMPUTED_VALUE""")," ")</f>
        <v> </v>
      </c>
      <c r="K680" s="59">
        <f>IFERROR(__xludf.DUMMYFUNCTION("""COMPUTED_VALUE"""),10.1)</f>
        <v>10.1</v>
      </c>
      <c r="L680" s="87" t="str">
        <f>IFERROR(__xludf.DUMMYFUNCTION("""COMPUTED_VALUE""")," ")</f>
        <v> </v>
      </c>
      <c r="M680" s="64" t="str">
        <f>IFERROR(__xludf.DUMMYFUNCTION("""COMPUTED_VALUE"""),"U: [1/5 W]; W: [1:1, $11.5]")</f>
        <v>U: [1/5 W]; W: [1:1, $11.5]</v>
      </c>
      <c r="N680" s="65">
        <f>IFERROR(__xludf.DUMMYFUNCTION("""COMPUTED_VALUE"""),44329.0)</f>
        <v>44329</v>
      </c>
      <c r="O680" s="66" t="str">
        <f>IFERROR(__xludf.DUMMYFUNCTION("""COMPUTED_VALUE"""),"")</f>
        <v/>
      </c>
      <c r="P680" s="67">
        <f>IFERROR(__xludf.DUMMYFUNCTION("""COMPUTED_VALUE"""),44277.0)</f>
        <v>44277</v>
      </c>
      <c r="Q680" s="68">
        <f>IFERROR(__xludf.DUMMYFUNCTION("""COMPUTED_VALUE"""),250.0)</f>
        <v>250</v>
      </c>
      <c r="R680" s="69" t="str">
        <f>IFERROR(__xludf.DUMMYFUNCTION("""COMPUTED_VALUE"""),"J.P. Morgan, Jefferies")</f>
        <v>J.P. Morgan, Jefferies</v>
      </c>
      <c r="S680" s="64">
        <f>IFERROR(__xludf.DUMMYFUNCTION("""COMPUTED_VALUE"""),45007.0)</f>
        <v>45007</v>
      </c>
      <c r="T680" s="70">
        <f>IFERROR(__xludf.DUMMYFUNCTION("""COMPUTED_VALUE"""),0.026027397260273973)</f>
        <v>0.02602739726</v>
      </c>
      <c r="U680" s="71" t="str">
        <f>IFERROR(__xludf.DUMMYFUNCTION("""COMPUTED_VALUE"""),"https://www.sec.gov/cgi-bin/browse-edgar?CIK=1838361")</f>
        <v>https://www.sec.gov/cgi-bin/browse-edgar?CIK=1838361</v>
      </c>
      <c r="V680" s="72" t="str">
        <f>IFERROR(__xludf.DUMMYFUNCTION("""COMPUTED_VALUE"""),"         Well-known Sponsor Serial Sponsor  ")</f>
        <v>         Well-known Sponsor Serial Sponsor  </v>
      </c>
      <c r="W680" s="73"/>
      <c r="X680" s="74"/>
      <c r="Y680" s="75"/>
      <c r="Z680" s="60"/>
      <c r="AA680" s="60"/>
      <c r="AB680" s="60"/>
      <c r="AC680" s="60"/>
      <c r="AD680" s="73"/>
      <c r="AE680" s="73"/>
      <c r="AF680" s="76"/>
      <c r="AG680" s="60"/>
    </row>
    <row r="681">
      <c r="A681" s="54" t="str">
        <f>IFERROR(__xludf.DUMMYFUNCTION("""COMPUTED_VALUE"""),"STWO")</f>
        <v>STWO</v>
      </c>
      <c r="B681" s="55" t="str">
        <f>IFERROR(__xludf.DUMMYFUNCTION("""COMPUTED_VALUE"""),"ACON S2 Acquisition Corp.")</f>
        <v>ACON S2 Acquisition Corp.</v>
      </c>
      <c r="C681" s="56" t="str">
        <f>IFERROR(__xludf.DUMMYFUNCTION("""COMPUTED_VALUE"""),"Searching")</f>
        <v>Searching</v>
      </c>
      <c r="D681" s="57" t="str">
        <f>IFERROR(__xludf.DUMMYFUNCTION("""COMPUTED_VALUE"""),"Sustainability")</f>
        <v>Sustainability</v>
      </c>
      <c r="E681" s="58"/>
      <c r="F681" s="59" t="str">
        <f>IFERROR(__xludf.DUMMYFUNCTION("""COMPUTED_VALUE"""),"Adam Kriger (Exec Partner, ACON Investments; Former SVP, McDonald's), Sarah Kirshbaum Levy (Former COO, Viacom)")</f>
        <v>Adam Kriger (Exec Partner, ACON Investments; Former SVP, McDonald's), Sarah Kirshbaum Levy (Former COO, Viacom)</v>
      </c>
      <c r="G681" s="60">
        <f>IFERROR(__xludf.DUMMYFUNCTION("""COMPUTED_VALUE"""),2.5E8)</f>
        <v>250000000</v>
      </c>
      <c r="H681" s="60">
        <f>IFERROR(__xludf.DUMMYFUNCTION("""COMPUTED_VALUE"""),2.49125E8)</f>
        <v>249125000</v>
      </c>
      <c r="I681" s="66">
        <f>IFERROR(__xludf.DUMMYFUNCTION("""COMPUTED_VALUE"""),9.965)</f>
        <v>9.965</v>
      </c>
      <c r="J681" s="62">
        <f>IFERROR(__xludf.DUMMYFUNCTION("""COMPUTED_VALUE"""),-0.0025)</f>
        <v>-0.0025</v>
      </c>
      <c r="K681" s="59">
        <f>IFERROR(__xludf.DUMMYFUNCTION("""COMPUTED_VALUE"""),10.21)</f>
        <v>10.21</v>
      </c>
      <c r="L681" s="87">
        <f>IFERROR(__xludf.DUMMYFUNCTION("""COMPUTED_VALUE"""),1.1)</f>
        <v>1.1</v>
      </c>
      <c r="M681" s="64" t="str">
        <f>IFERROR(__xludf.DUMMYFUNCTION("""COMPUTED_VALUE"""),"U: [1/3 W]; W: [1:1, $11.5]")</f>
        <v>U: [1/3 W]; W: [1:1, $11.5]</v>
      </c>
      <c r="N681" s="65" t="str">
        <f>IFERROR(__xludf.DUMMYFUNCTION("""COMPUTED_VALUE"""),"")</f>
        <v/>
      </c>
      <c r="O681" s="66">
        <f>IFERROR(__xludf.DUMMYFUNCTION("""COMPUTED_VALUE"""),0.0)</f>
        <v>0</v>
      </c>
      <c r="P681" s="67">
        <f>IFERROR(__xludf.DUMMYFUNCTION("""COMPUTED_VALUE"""),44091.0)</f>
        <v>44091</v>
      </c>
      <c r="Q681" s="68">
        <f>IFERROR(__xludf.DUMMYFUNCTION("""COMPUTED_VALUE"""),250.0)</f>
        <v>250</v>
      </c>
      <c r="R681" s="69" t="str">
        <f>IFERROR(__xludf.DUMMYFUNCTION("""COMPUTED_VALUE"""),"Deutsche Bank, Cowen, Stifel")</f>
        <v>Deutsche Bank, Cowen, Stifel</v>
      </c>
      <c r="S681" s="64">
        <f>IFERROR(__xludf.DUMMYFUNCTION("""COMPUTED_VALUE"""),44821.0)</f>
        <v>44821</v>
      </c>
      <c r="T681" s="70">
        <f>IFERROR(__xludf.DUMMYFUNCTION("""COMPUTED_VALUE"""),0.2808219178082192)</f>
        <v>0.2808219178</v>
      </c>
      <c r="U681" s="71" t="str">
        <f>IFERROR(__xludf.DUMMYFUNCTION("""COMPUTED_VALUE"""),"https://www.sec.gov/cgi-bin/browse-edgar?CIK=1819438")</f>
        <v>https://www.sec.gov/cgi-bin/browse-edgar?CIK=1819438</v>
      </c>
      <c r="V681" s="72" t="str">
        <f>IFERROR(__xludf.DUMMYFUNCTION("""COMPUTED_VALUE"""),"Sustainability Trading Below $10 (Common)           ")</f>
        <v>Sustainability Trading Below $10 (Common)           </v>
      </c>
      <c r="W681" s="73"/>
      <c r="X681" s="74"/>
      <c r="Y681" s="75"/>
      <c r="Z681" s="60"/>
      <c r="AA681" s="60"/>
      <c r="AB681" s="60"/>
      <c r="AC681" s="60"/>
      <c r="AD681" s="73"/>
      <c r="AE681" s="73"/>
      <c r="AF681" s="76"/>
      <c r="AG681" s="60" t="str">
        <f>IFERROR(__xludf.DUMMYFUNCTION("""COMPUTED_VALUE"""),"")</f>
        <v/>
      </c>
    </row>
    <row r="682">
      <c r="A682" s="54" t="str">
        <f>IFERROR(__xludf.DUMMYFUNCTION("""COMPUTED_VALUE"""),"SV")</f>
        <v>SV</v>
      </c>
      <c r="B682" s="55" t="str">
        <f>IFERROR(__xludf.DUMMYFUNCTION("""COMPUTED_VALUE"""),"Spring Valley Acquisition Corp.")</f>
        <v>Spring Valley Acquisition Corp.</v>
      </c>
      <c r="C682" s="56" t="str">
        <f>IFERROR(__xludf.DUMMYFUNCTION("""COMPUTED_VALUE"""),"Definitive Agreement")</f>
        <v>Definitive Agreement</v>
      </c>
      <c r="D682" s="57" t="str">
        <f>IFERROR(__xludf.DUMMYFUNCTION("""COMPUTED_VALUE"""),"Environmental Sustainability (Clean Energy/storage, mobility, recycling +)")</f>
        <v>Environmental Sustainability (Clean Energy/storage, mobility, recycling +)</v>
      </c>
      <c r="E682" s="58" t="str">
        <f>IFERROR(__xludf.DUMMYFUNCTION("""COMPUTED_VALUE"""),"AeroFarms [DA: 03/26/21]")</f>
        <v>AeroFarms [DA: 03/26/21]</v>
      </c>
      <c r="F682" s="59" t="str">
        <f>IFERROR(__xludf.DUMMYFUNCTION("""COMPUTED_VALUE"""),"Christopher Sorells (Lead Director, Renewable Energy Group)")</f>
        <v>Christopher Sorells (Lead Director, Renewable Energy Group)</v>
      </c>
      <c r="G682" s="60">
        <f>IFERROR(__xludf.DUMMYFUNCTION("""COMPUTED_VALUE"""),2.32301973E8)</f>
        <v>232301973</v>
      </c>
      <c r="H682" s="60">
        <f>IFERROR(__xludf.DUMMYFUNCTION("""COMPUTED_VALUE"""),2.3046E8)</f>
        <v>230460000</v>
      </c>
      <c r="I682" s="66">
        <f>IFERROR(__xludf.DUMMYFUNCTION("""COMPUTED_VALUE"""),10.02)</f>
        <v>10.02</v>
      </c>
      <c r="J682" s="62">
        <f>IFERROR(__xludf.DUMMYFUNCTION("""COMPUTED_VALUE"""),0.001)</f>
        <v>0.001</v>
      </c>
      <c r="K682" s="59" t="str">
        <f>IFERROR(__xludf.DUMMYFUNCTION("""COMPUTED_VALUE""")," ")</f>
        <v> </v>
      </c>
      <c r="L682" s="87" t="str">
        <f>IFERROR(__xludf.DUMMYFUNCTION("""COMPUTED_VALUE""")," ")</f>
        <v> </v>
      </c>
      <c r="M682" s="64" t="str">
        <f>IFERROR(__xludf.DUMMYFUNCTION("""COMPUTED_VALUE"""),"U: [1/2 W]; W: [1:1, $11.5]")</f>
        <v>U: [1/2 W]; W: [1:1, $11.5]</v>
      </c>
      <c r="N682" s="65" t="str">
        <f>IFERROR(__xludf.DUMMYFUNCTION("""COMPUTED_VALUE"""),"")</f>
        <v/>
      </c>
      <c r="O682" s="66">
        <f>IFERROR(__xludf.DUMMYFUNCTION("""COMPUTED_VALUE"""),0.0)</f>
        <v>0</v>
      </c>
      <c r="P682" s="67">
        <f>IFERROR(__xludf.DUMMYFUNCTION("""COMPUTED_VALUE"""),44158.0)</f>
        <v>44158</v>
      </c>
      <c r="Q682" s="68">
        <f>IFERROR(__xludf.DUMMYFUNCTION("""COMPUTED_VALUE"""),232.3)</f>
        <v>232.3</v>
      </c>
      <c r="R682" s="69" t="str">
        <f>IFERROR(__xludf.DUMMYFUNCTION("""COMPUTED_VALUE"""),"Cowen, Wells Fargo Securities")</f>
        <v>Cowen, Wells Fargo Securities</v>
      </c>
      <c r="S682" s="64">
        <f>IFERROR(__xludf.DUMMYFUNCTION("""COMPUTED_VALUE"""),44888.0)</f>
        <v>44888</v>
      </c>
      <c r="T682" s="70">
        <f>IFERROR(__xludf.DUMMYFUNCTION("""COMPUTED_VALUE"""),0.18904109589041096)</f>
        <v>0.1890410959</v>
      </c>
      <c r="U682" s="71" t="str">
        <f>IFERROR(__xludf.DUMMYFUNCTION("""COMPUTED_VALUE"""),"https://www.sec.gov/cgi-bin/browse-edgar?CIK=1822966")</f>
        <v>https://www.sec.gov/cgi-bin/browse-edgar?CIK=1822966</v>
      </c>
      <c r="V682" s="72" t="str">
        <f>IFERROR(__xludf.DUMMYFUNCTION("""COMPUTED_VALUE"""),"            ")</f>
        <v>            </v>
      </c>
      <c r="W682" s="73">
        <f>IFERROR(__xludf.DUMMYFUNCTION("""COMPUTED_VALUE"""),44281.0)</f>
        <v>44281</v>
      </c>
      <c r="X682" s="79">
        <f>IFERROR(__xludf.DUMMYFUNCTION("""COMPUTED_VALUE"""),4.1)</f>
        <v>4.1</v>
      </c>
      <c r="Y682" s="80" t="str">
        <f>IFERROR(__xludf.DUMMYFUNCTION("""COMPUTED_VALUE"""),"https://www.businesswire.com/news/home/20210326005074/en/AeroFarms-the-World-Leader-in-Indoor-Vertical-Farming-to-Become-Publicly-Traded-Company-through-Combination-with-Spring-Valley-Acquisition-Corp.")</f>
        <v>https://www.businesswire.com/news/home/20210326005074/en/AeroFarms-the-World-Leader-in-Indoor-Vertical-Farming-to-Become-Publicly-Traded-Company-through-Combination-with-Spring-Valley-Acquisition-Corp.</v>
      </c>
      <c r="Z682" s="81" t="str">
        <f>IFERROR(__xludf.DUMMYFUNCTION("""COMPUTED_VALUE"""),"https://www.sec.gov/Archives/edgar/data/1822966/000110465921042008/tm2110955d1_ex99-3.htm")</f>
        <v>https://www.sec.gov/Archives/edgar/data/1822966/000110465921042008/tm2110955d1_ex99-3.htm</v>
      </c>
      <c r="AA682" s="60">
        <f>IFERROR(__xludf.DUMMYFUNCTION("""COMPUTED_VALUE"""),2.5E8)</f>
        <v>250000000</v>
      </c>
      <c r="AB682" s="60">
        <f>IFERROR(__xludf.DUMMYFUNCTION("""COMPUTED_VALUE"""),1.566E9)</f>
        <v>1566000000</v>
      </c>
      <c r="AC682" s="60">
        <f>IFERROR(__xludf.DUMMYFUNCTION("""COMPUTED_VALUE"""),1.067E9)</f>
        <v>1067000000</v>
      </c>
      <c r="AD682" s="73"/>
      <c r="AE682" s="73"/>
      <c r="AF682" s="76">
        <f>IFERROR(__xludf.DUMMYFUNCTION("""COMPUTED_VALUE"""),1.566E8)</f>
        <v>156600000</v>
      </c>
      <c r="AG682" s="60">
        <f>IFERROR(__xludf.DUMMYFUNCTION("""COMPUTED_VALUE"""),1.569132E9)</f>
        <v>1569132000</v>
      </c>
    </row>
    <row r="683">
      <c r="A683" s="54" t="str">
        <f>IFERROR(__xludf.DUMMYFUNCTION("""COMPUTED_VALUE"""),"SVAC")</f>
        <v>SVAC</v>
      </c>
      <c r="B683" s="55" t="str">
        <f>IFERROR(__xludf.DUMMYFUNCTION("""COMPUTED_VALUE"""),"Starboard Value Acquisition Corp.")</f>
        <v>Starboard Value Acquisition Corp.</v>
      </c>
      <c r="C683" s="56" t="str">
        <f>IFERROR(__xludf.DUMMYFUNCTION("""COMPUTED_VALUE"""),"Definitive Agreement")</f>
        <v>Definitive Agreement</v>
      </c>
      <c r="D683" s="57" t="str">
        <f>IFERROR(__xludf.DUMMYFUNCTION("""COMPUTED_VALUE"""),"Tech, Healthcare, Consumer, Industrials, Hospitality, Entertainment ")</f>
        <v>Tech, Healthcare, Consumer, Industrials, Hospitality, Entertainment </v>
      </c>
      <c r="E683" s="58" t="str">
        <f>IFERROR(__xludf.DUMMYFUNCTION("""COMPUTED_VALUE"""),"Cyxtera Technologies [DA: 02/22/21]")</f>
        <v>Cyxtera Technologies [DA: 02/22/21]</v>
      </c>
      <c r="F683" s="59" t="str">
        <f>IFERROR(__xludf.DUMMYFUNCTION("""COMPUTED_VALUE"""),"Jeffrey Smith (CEO, Starboard), Pauline Brown (Host, Tastemakers and Former Chair of LVMH North America), Michelle Felman (Founder, JAM Holdings), Robert Greene (CEO, Nat'l Assoc of Investment Companies), Nigel Travis (Former CEO, Dunkin Brands; COO of Bl"&amp;"ockbuster; CEO of Papa John's)")</f>
        <v>Jeffrey Smith (CEO, Starboard), Pauline Brown (Host, Tastemakers and Former Chair of LVMH North America), Michelle Felman (Founder, JAM Holdings), Robert Greene (CEO, Nat'l Assoc of Investment Companies), Nigel Travis (Former CEO, Dunkin Brands; COO of Blockbuster; CEO of Papa John's)</v>
      </c>
      <c r="G683" s="60">
        <f>IFERROR(__xludf.DUMMYFUNCTION("""COMPUTED_VALUE"""),4.04261756E8)</f>
        <v>404261756</v>
      </c>
      <c r="H683" s="60">
        <f>IFERROR(__xludf.DUMMYFUNCTION("""COMPUTED_VALUE"""),4.03426061E8)</f>
        <v>403426061</v>
      </c>
      <c r="I683" s="66">
        <f>IFERROR(__xludf.DUMMYFUNCTION("""COMPUTED_VALUE"""),9.98)</f>
        <v>9.98</v>
      </c>
      <c r="J683" s="62">
        <f>IFERROR(__xludf.DUMMYFUNCTION("""COMPUTED_VALUE"""),-0.00499)</f>
        <v>-0.00499</v>
      </c>
      <c r="K683" s="59">
        <f>IFERROR(__xludf.DUMMYFUNCTION("""COMPUTED_VALUE"""),10.21)</f>
        <v>10.21</v>
      </c>
      <c r="L683" s="87">
        <f>IFERROR(__xludf.DUMMYFUNCTION("""COMPUTED_VALUE"""),1.59)</f>
        <v>1.59</v>
      </c>
      <c r="M683" s="64" t="str">
        <f>IFERROR(__xludf.DUMMYFUNCTION("""COMPUTED_VALUE"""),"U: [1/6 W]; W: [1:1, $11.5]")</f>
        <v>U: [1/6 W]; W: [1:1, $11.5]</v>
      </c>
      <c r="N683" s="65" t="str">
        <f>IFERROR(__xludf.DUMMYFUNCTION("""COMPUTED_VALUE"""),"")</f>
        <v/>
      </c>
      <c r="O683" s="66">
        <f>IFERROR(__xludf.DUMMYFUNCTION("""COMPUTED_VALUE"""),0.0)</f>
        <v>0</v>
      </c>
      <c r="P683" s="67">
        <f>IFERROR(__xludf.DUMMYFUNCTION("""COMPUTED_VALUE"""),44084.0)</f>
        <v>44084</v>
      </c>
      <c r="Q683" s="68">
        <f>IFERROR(__xludf.DUMMYFUNCTION("""COMPUTED_VALUE"""),404.2)</f>
        <v>404.2</v>
      </c>
      <c r="R683" s="69" t="str">
        <f>IFERROR(__xludf.DUMMYFUNCTION("""COMPUTED_VALUE"""),"UBS, Stifel, Cowen")</f>
        <v>UBS, Stifel, Cowen</v>
      </c>
      <c r="S683" s="64">
        <f>IFERROR(__xludf.DUMMYFUNCTION("""COMPUTED_VALUE"""),44814.0)</f>
        <v>44814</v>
      </c>
      <c r="T683" s="70">
        <f>IFERROR(__xludf.DUMMYFUNCTION("""COMPUTED_VALUE"""),0.29041095890410956)</f>
        <v>0.2904109589</v>
      </c>
      <c r="U683" s="71" t="str">
        <f>IFERROR(__xludf.DUMMYFUNCTION("""COMPUTED_VALUE"""),"https://www.sec.gov/cgi-bin/browse-edgar?CIK=1794905")</f>
        <v>https://www.sec.gov/cgi-bin/browse-edgar?CIK=1794905</v>
      </c>
      <c r="V683" s="72" t="str">
        <f>IFERROR(__xludf.DUMMYFUNCTION("""COMPUTED_VALUE""")," Trading Below $10 (Common)    Optionable    Well-known Sponsor   ")</f>
        <v> Trading Below $10 (Common)    Optionable    Well-known Sponsor   </v>
      </c>
      <c r="W683" s="73">
        <f>IFERROR(__xludf.DUMMYFUNCTION("""COMPUTED_VALUE"""),44249.0)</f>
        <v>44249</v>
      </c>
      <c r="X683" s="79">
        <f>IFERROR(__xludf.DUMMYFUNCTION("""COMPUTED_VALUE"""),5.5)</f>
        <v>5.5</v>
      </c>
      <c r="Y683" s="80" t="str">
        <f>IFERROR(__xludf.DUMMYFUNCTION("""COMPUTED_VALUE"""),"https://www.businesswire.com/news/home/20210222005413/en/Cyxtera-Agrees-to-Merge-With-Publicly-Listed-Starboard-Value-Acquisition-Corp.-in-3.4-Billion-Transaction")</f>
        <v>https://www.businesswire.com/news/home/20210222005413/en/Cyxtera-Agrees-to-Merge-With-Publicly-Listed-Starboard-Value-Acquisition-Corp.-in-3.4-Billion-Transaction</v>
      </c>
      <c r="Z683" s="81" t="str">
        <f>IFERROR(__xludf.DUMMYFUNCTION("""COMPUTED_VALUE"""),"https://www.sec.gov/Archives/edgar/data/1794905/000110465921025980/tm217463d1_ex99-2.htm")</f>
        <v>https://www.sec.gov/Archives/edgar/data/1794905/000110465921025980/tm217463d1_ex99-2.htm</v>
      </c>
      <c r="AA683" s="60">
        <f>IFERROR(__xludf.DUMMYFUNCTION("""COMPUTED_VALUE"""),2.5E8)</f>
        <v>250000000</v>
      </c>
      <c r="AB683" s="60">
        <f>IFERROR(__xludf.DUMMYFUNCTION("""COMPUTED_VALUE"""),1.816E9)</f>
        <v>1816000000</v>
      </c>
      <c r="AC683" s="60">
        <f>IFERROR(__xludf.DUMMYFUNCTION("""COMPUTED_VALUE"""),3.425E9)</f>
        <v>3425000000</v>
      </c>
      <c r="AD683" s="73"/>
      <c r="AE683" s="73"/>
      <c r="AF683" s="76">
        <f>IFERROR(__xludf.DUMMYFUNCTION("""COMPUTED_VALUE"""),1.816E8)</f>
        <v>181600000</v>
      </c>
      <c r="AG683" s="60">
        <f>IFERROR(__xludf.DUMMYFUNCTION("""COMPUTED_VALUE"""),1.812368E9)</f>
        <v>1812368000</v>
      </c>
    </row>
    <row r="684">
      <c r="A684" s="54" t="str">
        <f>IFERROR(__xludf.DUMMYFUNCTION("""COMPUTED_VALUE"""),"SVFA")</f>
        <v>SVFA</v>
      </c>
      <c r="B684" s="55" t="str">
        <f>IFERROR(__xludf.DUMMYFUNCTION("""COMPUTED_VALUE"""),"SVF Investment Corp.")</f>
        <v>SVF Investment Corp.</v>
      </c>
      <c r="C684" s="56" t="str">
        <f>IFERROR(__xludf.DUMMYFUNCTION("""COMPUTED_VALUE"""),"Searching")</f>
        <v>Searching</v>
      </c>
      <c r="D684" s="57" t="str">
        <f>IFERROR(__xludf.DUMMYFUNCTION("""COMPUTED_VALUE"""),"Tech")</f>
        <v>Tech</v>
      </c>
      <c r="E684" s="58"/>
      <c r="F684" s="59" t="str">
        <f>IFERROR(__xludf.DUMMYFUNCTION("""COMPUTED_VALUE"""),"SoftBank, Rajeev Misra (CEO, SoftBank Investment Advisers -- manages Vision Funds)")</f>
        <v>SoftBank, Rajeev Misra (CEO, SoftBank Investment Advisers -- manages Vision Funds)</v>
      </c>
      <c r="G684" s="60">
        <f>IFERROR(__xludf.DUMMYFUNCTION("""COMPUTED_VALUE"""),6.0375E8)</f>
        <v>603750000</v>
      </c>
      <c r="H684" s="60">
        <f>IFERROR(__xludf.DUMMYFUNCTION("""COMPUTED_VALUE"""),6.266925E8)</f>
        <v>626692500</v>
      </c>
      <c r="I684" s="66">
        <f>IFERROR(__xludf.DUMMYFUNCTION("""COMPUTED_VALUE"""),10.38)</f>
        <v>10.38</v>
      </c>
      <c r="J684" s="62">
        <f>IFERROR(__xludf.DUMMYFUNCTION("""COMPUTED_VALUE"""),-0.00192)</f>
        <v>-0.00192</v>
      </c>
      <c r="K684" s="59">
        <f>IFERROR(__xludf.DUMMYFUNCTION("""COMPUTED_VALUE"""),10.87)</f>
        <v>10.87</v>
      </c>
      <c r="L684" s="87">
        <f>IFERROR(__xludf.DUMMYFUNCTION("""COMPUTED_VALUE"""),2.44)</f>
        <v>2.44</v>
      </c>
      <c r="M684" s="64" t="str">
        <f>IFERROR(__xludf.DUMMYFUNCTION("""COMPUTED_VALUE"""),"U: [1/5 W]; W: [1:1, $11.5]")</f>
        <v>U: [1/5 W]; W: [1:1, $11.5]</v>
      </c>
      <c r="N684" s="65" t="str">
        <f>IFERROR(__xludf.DUMMYFUNCTION("""COMPUTED_VALUE"""),"")</f>
        <v/>
      </c>
      <c r="O684" s="66">
        <f>IFERROR(__xludf.DUMMYFUNCTION("""COMPUTED_VALUE"""),0.0)</f>
        <v>0</v>
      </c>
      <c r="P684" s="67">
        <f>IFERROR(__xludf.DUMMYFUNCTION("""COMPUTED_VALUE"""),44203.0)</f>
        <v>44203</v>
      </c>
      <c r="Q684" s="68">
        <f>IFERROR(__xludf.DUMMYFUNCTION("""COMPUTED_VALUE"""),603.75)</f>
        <v>603.75</v>
      </c>
      <c r="R684" s="69" t="str">
        <f>IFERROR(__xludf.DUMMYFUNCTION("""COMPUTED_VALUE"""),"Citigroup, Deutsche Bank Securities, Cantor")</f>
        <v>Citigroup, Deutsche Bank Securities, Cantor</v>
      </c>
      <c r="S684" s="64">
        <f>IFERROR(__xludf.DUMMYFUNCTION("""COMPUTED_VALUE"""),44933.0)</f>
        <v>44933</v>
      </c>
      <c r="T684" s="70">
        <f>IFERROR(__xludf.DUMMYFUNCTION("""COMPUTED_VALUE"""),0.1273972602739726)</f>
        <v>0.1273972603</v>
      </c>
      <c r="U684" s="71" t="str">
        <f>IFERROR(__xludf.DUMMYFUNCTION("""COMPUTED_VALUE"""),"https://www.sec.gov/cgi-bin/browse-edgar?CIK=1828478")</f>
        <v>https://www.sec.gov/cgi-bin/browse-edgar?CIK=1828478</v>
      </c>
      <c r="V684" s="72" t="str">
        <f>IFERROR(__xludf.DUMMYFUNCTION("""COMPUTED_VALUE"""),"   $500M+ Trust     Well-known Sponsor Serial Sponsor Top Tier UW ")</f>
        <v>   $500M+ Trust     Well-known Sponsor Serial Sponsor Top Tier UW </v>
      </c>
      <c r="W684" s="73"/>
      <c r="X684" s="74"/>
      <c r="Y684" s="75"/>
      <c r="Z684" s="60"/>
      <c r="AA684" s="60"/>
      <c r="AB684" s="60"/>
      <c r="AC684" s="60"/>
      <c r="AD684" s="73"/>
      <c r="AE684" s="73"/>
      <c r="AF684" s="76"/>
      <c r="AG684" s="60" t="str">
        <f>IFERROR(__xludf.DUMMYFUNCTION("""COMPUTED_VALUE"""),"")</f>
        <v/>
      </c>
    </row>
    <row r="685">
      <c r="A685" s="88" t="str">
        <f>IFERROR(__xludf.DUMMYFUNCTION("""COMPUTED_VALUE"""),"SVFB")</f>
        <v>SVFB</v>
      </c>
      <c r="B685" s="55" t="str">
        <f>IFERROR(__xludf.DUMMYFUNCTION("""COMPUTED_VALUE"""),"SVF Investment Corp. 2")</f>
        <v>SVF Investment Corp. 2</v>
      </c>
      <c r="C685" s="56" t="str">
        <f>IFERROR(__xludf.DUMMYFUNCTION("""COMPUTED_VALUE"""),"Searching")</f>
        <v>Searching</v>
      </c>
      <c r="D685" s="57" t="str">
        <f>IFERROR(__xludf.DUMMYFUNCTION("""COMPUTED_VALUE"""),"Tech")</f>
        <v>Tech</v>
      </c>
      <c r="E685" s="58"/>
      <c r="F685" s="59" t="str">
        <f>IFERROR(__xludf.DUMMYFUNCTION("""COMPUTED_VALUE"""),"SoftBank Investment Advisers (Vison Fund)")</f>
        <v>SoftBank Investment Advisers (Vison Fund)</v>
      </c>
      <c r="G685" s="60">
        <f>IFERROR(__xludf.DUMMYFUNCTION("""COMPUTED_VALUE"""),2.3E8)</f>
        <v>230000000</v>
      </c>
      <c r="H685" s="60">
        <f>IFERROR(__xludf.DUMMYFUNCTION("""COMPUTED_VALUE"""),2.082E8)</f>
        <v>208200000</v>
      </c>
      <c r="I685" s="66">
        <f>IFERROR(__xludf.DUMMYFUNCTION("""COMPUTED_VALUE"""),10.41)</f>
        <v>10.41</v>
      </c>
      <c r="J685" s="62">
        <f>IFERROR(__xludf.DUMMYFUNCTION("""COMPUTED_VALUE"""),-0.00668)</f>
        <v>-0.00668</v>
      </c>
      <c r="K685" s="59" t="str">
        <f>IFERROR(__xludf.DUMMYFUNCTION("""COMPUTED_VALUE""")," ")</f>
        <v> </v>
      </c>
      <c r="L685" s="87" t="str">
        <f>IFERROR(__xludf.DUMMYFUNCTION("""COMPUTED_VALUE""")," ")</f>
        <v> </v>
      </c>
      <c r="M685" s="64" t="str">
        <f>IFERROR(__xludf.DUMMYFUNCTION("""COMPUTED_VALUE"""),"U: [No Units]; W: [No Warrants]")</f>
        <v>U: [No Units]; W: [No Warrants]</v>
      </c>
      <c r="N685" s="65" t="str">
        <f>IFERROR(__xludf.DUMMYFUNCTION("""COMPUTED_VALUE"""),"")</f>
        <v/>
      </c>
      <c r="O685" s="66">
        <f>IFERROR(__xludf.DUMMYFUNCTION("""COMPUTED_VALUE"""),0.0)</f>
        <v>0</v>
      </c>
      <c r="P685" s="67">
        <f>IFERROR(__xludf.DUMMYFUNCTION("""COMPUTED_VALUE"""),44263.0)</f>
        <v>44263</v>
      </c>
      <c r="Q685" s="68">
        <f>IFERROR(__xludf.DUMMYFUNCTION("""COMPUTED_VALUE"""),230.0)</f>
        <v>230</v>
      </c>
      <c r="R685" s="69" t="str">
        <f>IFERROR(__xludf.DUMMYFUNCTION("""COMPUTED_VALUE"""),"Citigroup, UBS Investment Bank, Deutsche Bank Securities, Cantor, Mizuho Securities")</f>
        <v>Citigroup, UBS Investment Bank, Deutsche Bank Securities, Cantor, Mizuho Securities</v>
      </c>
      <c r="S685" s="64">
        <f>IFERROR(__xludf.DUMMYFUNCTION("""COMPUTED_VALUE"""),44993.0)</f>
        <v>44993</v>
      </c>
      <c r="T685" s="70">
        <f>IFERROR(__xludf.DUMMYFUNCTION("""COMPUTED_VALUE"""),0.045205479452054796)</f>
        <v>0.04520547945</v>
      </c>
      <c r="U685" s="71" t="str">
        <f>IFERROR(__xludf.DUMMYFUNCTION("""COMPUTED_VALUE"""),"https://www.sec.gov/cgi-bin/browse-edgar?CIK=1837238")</f>
        <v>https://www.sec.gov/cgi-bin/browse-edgar?CIK=1837238</v>
      </c>
      <c r="V685" s="72" t="str">
        <f>IFERROR(__xludf.DUMMYFUNCTION("""COMPUTED_VALUE"""),"         Well-known Sponsor Serial Sponsor Top Tier UW ")</f>
        <v>         Well-known Sponsor Serial Sponsor Top Tier UW </v>
      </c>
      <c r="W685" s="73"/>
      <c r="X685" s="74"/>
      <c r="Y685" s="75"/>
      <c r="Z685" s="60"/>
      <c r="AA685" s="60"/>
      <c r="AB685" s="60"/>
      <c r="AC685" s="60"/>
      <c r="AD685" s="73"/>
      <c r="AE685" s="73"/>
      <c r="AF685" s="76"/>
      <c r="AG685" s="60"/>
    </row>
    <row r="686">
      <c r="A686" s="88" t="str">
        <f>IFERROR(__xludf.DUMMYFUNCTION("""COMPUTED_VALUE"""),"SVFC")</f>
        <v>SVFC</v>
      </c>
      <c r="B686" s="55" t="str">
        <f>IFERROR(__xludf.DUMMYFUNCTION("""COMPUTED_VALUE"""),"SVF Investment Corp. 3")</f>
        <v>SVF Investment Corp. 3</v>
      </c>
      <c r="C686" s="56" t="str">
        <f>IFERROR(__xludf.DUMMYFUNCTION("""COMPUTED_VALUE"""),"Searching")</f>
        <v>Searching</v>
      </c>
      <c r="D686" s="57" t="str">
        <f>IFERROR(__xludf.DUMMYFUNCTION("""COMPUTED_VALUE"""),"Tech")</f>
        <v>Tech</v>
      </c>
      <c r="E686" s="58"/>
      <c r="F686" s="59" t="str">
        <f>IFERROR(__xludf.DUMMYFUNCTION("""COMPUTED_VALUE"""),"SoftBank Investment Advisers (Vison Fund)")</f>
        <v>SoftBank Investment Advisers (Vison Fund)</v>
      </c>
      <c r="G686" s="60">
        <f>IFERROR(__xludf.DUMMYFUNCTION("""COMPUTED_VALUE"""),3.2E8)</f>
        <v>320000000</v>
      </c>
      <c r="H686" s="60">
        <f>IFERROR(__xludf.DUMMYFUNCTION("""COMPUTED_VALUE"""),2.87E8)</f>
        <v>287000000</v>
      </c>
      <c r="I686" s="66">
        <f>IFERROR(__xludf.DUMMYFUNCTION("""COMPUTED_VALUE"""),10.25)</f>
        <v>10.25</v>
      </c>
      <c r="J686" s="62">
        <f>IFERROR(__xludf.DUMMYFUNCTION("""COMPUTED_VALUE"""),-0.00195)</f>
        <v>-0.00195</v>
      </c>
      <c r="K686" s="59" t="str">
        <f>IFERROR(__xludf.DUMMYFUNCTION("""COMPUTED_VALUE""")," ")</f>
        <v> </v>
      </c>
      <c r="L686" s="87" t="str">
        <f>IFERROR(__xludf.DUMMYFUNCTION("""COMPUTED_VALUE""")," ")</f>
        <v> </v>
      </c>
      <c r="M686" s="64" t="str">
        <f>IFERROR(__xludf.DUMMYFUNCTION("""COMPUTED_VALUE"""),"U: [No Units]; W: [No Warrants]")</f>
        <v>U: [No Units]; W: [No Warrants]</v>
      </c>
      <c r="N686" s="65" t="str">
        <f>IFERROR(__xludf.DUMMYFUNCTION("""COMPUTED_VALUE"""),"")</f>
        <v/>
      </c>
      <c r="O686" s="66">
        <f>IFERROR(__xludf.DUMMYFUNCTION("""COMPUTED_VALUE"""),0.0)</f>
        <v>0</v>
      </c>
      <c r="P686" s="67">
        <f>IFERROR(__xludf.DUMMYFUNCTION("""COMPUTED_VALUE"""),44263.0)</f>
        <v>44263</v>
      </c>
      <c r="Q686" s="68">
        <f>IFERROR(__xludf.DUMMYFUNCTION("""COMPUTED_VALUE"""),320.0)</f>
        <v>320</v>
      </c>
      <c r="R686" s="69" t="str">
        <f>IFERROR(__xludf.DUMMYFUNCTION("""COMPUTED_VALUE"""),"Citigroup, UBS Investment Bank, Deutsche Bank Securities, Cantor, Mizuho Securities")</f>
        <v>Citigroup, UBS Investment Bank, Deutsche Bank Securities, Cantor, Mizuho Securities</v>
      </c>
      <c r="S686" s="64">
        <f>IFERROR(__xludf.DUMMYFUNCTION("""COMPUTED_VALUE"""),44993.0)</f>
        <v>44993</v>
      </c>
      <c r="T686" s="70">
        <f>IFERROR(__xludf.DUMMYFUNCTION("""COMPUTED_VALUE"""),0.045205479452054796)</f>
        <v>0.04520547945</v>
      </c>
      <c r="U686" s="71" t="str">
        <f>IFERROR(__xludf.DUMMYFUNCTION("""COMPUTED_VALUE"""),"https://www.sec.gov/cgi-bin/browse-edgar?CIK=1837240")</f>
        <v>https://www.sec.gov/cgi-bin/browse-edgar?CIK=1837240</v>
      </c>
      <c r="V686" s="72" t="str">
        <f>IFERROR(__xludf.DUMMYFUNCTION("""COMPUTED_VALUE"""),"         Well-known Sponsor Serial Sponsor Top Tier UW ")</f>
        <v>         Well-known Sponsor Serial Sponsor Top Tier UW </v>
      </c>
      <c r="W686" s="73"/>
      <c r="X686" s="74"/>
      <c r="Y686" s="75"/>
      <c r="Z686" s="60"/>
      <c r="AA686" s="60"/>
      <c r="AB686" s="60"/>
      <c r="AC686" s="60"/>
      <c r="AD686" s="73"/>
      <c r="AE686" s="73"/>
      <c r="AF686" s="76"/>
      <c r="AG686" s="60"/>
    </row>
    <row r="687">
      <c r="A687" s="88" t="str">
        <f>IFERROR(__xludf.DUMMYFUNCTION("""COMPUTED_VALUE"""),"SVII")</f>
        <v>SVII</v>
      </c>
      <c r="B687" s="55" t="str">
        <f>IFERROR(__xludf.DUMMYFUNCTION("""COMPUTED_VALUE"""),"Spring Valley Acquisition Corp. II")</f>
        <v>Spring Valley Acquisition Corp. II</v>
      </c>
      <c r="C687" s="56" t="str">
        <f>IFERROR(__xludf.DUMMYFUNCTION("""COMPUTED_VALUE"""),"Pre IPO")</f>
        <v>Pre IPO</v>
      </c>
      <c r="D687" s="77" t="str">
        <f>IFERROR(__xludf.DUMMYFUNCTION("""COMPUTED_VALUE"""),"Sustainability")</f>
        <v>Sustainability</v>
      </c>
      <c r="E687" s="58"/>
      <c r="F687" s="59" t="str">
        <f>IFERROR(__xludf.DUMMYFUNCTION("""COMPUTED_VALUE"""),"Christopher Sorells (Lead Director, Renewable Energy Group)")</f>
        <v>Christopher Sorells (Lead Director, Renewable Energy Group)</v>
      </c>
      <c r="G687" s="60">
        <f>IFERROR(__xludf.DUMMYFUNCTION("""COMPUTED_VALUE"""),2.0E8)</f>
        <v>200000000</v>
      </c>
      <c r="H687" s="60" t="str">
        <f>IFERROR(__xludf.DUMMYFUNCTION("""COMPUTED_VALUE""")," ")</f>
        <v> </v>
      </c>
      <c r="I687" s="66" t="str">
        <f>IFERROR(__xludf.DUMMYFUNCTION("""COMPUTED_VALUE""")," ")</f>
        <v> </v>
      </c>
      <c r="J687" s="62" t="str">
        <f>IFERROR(__xludf.DUMMYFUNCTION("""COMPUTED_VALUE""")," ")</f>
        <v> </v>
      </c>
      <c r="K687" s="59" t="str">
        <f>IFERROR(__xludf.DUMMYFUNCTION("""COMPUTED_VALUE""")," ")</f>
        <v> </v>
      </c>
      <c r="L687" s="87" t="str">
        <f>IFERROR(__xludf.DUMMYFUNCTION("""COMPUTED_VALUE""")," ")</f>
        <v> </v>
      </c>
      <c r="M687" s="64" t="str">
        <f>IFERROR(__xludf.DUMMYFUNCTION("""COMPUTED_VALUE"""),"U: [1/2 W]; W: [1:1, $11.5]")</f>
        <v>U: [1/2 W]; W: [1:1, $11.5]</v>
      </c>
      <c r="N687" s="65" t="str">
        <f>IFERROR(__xludf.DUMMYFUNCTION("""COMPUTED_VALUE"""),"")</f>
        <v/>
      </c>
      <c r="O687" s="66" t="str">
        <f>IFERROR(__xludf.DUMMYFUNCTION("""COMPUTED_VALUE"""),"")</f>
        <v/>
      </c>
      <c r="P687" s="67"/>
      <c r="Q687" s="68">
        <f>IFERROR(__xludf.DUMMYFUNCTION("""COMPUTED_VALUE"""),200.0)</f>
        <v>200</v>
      </c>
      <c r="R687" s="69" t="str">
        <f>IFERROR(__xludf.DUMMYFUNCTION("""COMPUTED_VALUE"""),"Citigroup, RBC Capital Markets")</f>
        <v>Citigroup, RBC Capital Markets</v>
      </c>
      <c r="S687" s="64">
        <f>IFERROR(__xludf.DUMMYFUNCTION("""COMPUTED_VALUE"""),45086.0)</f>
        <v>45086</v>
      </c>
      <c r="T687" s="70" t="str">
        <f>IFERROR(__xludf.DUMMYFUNCTION("""COMPUTED_VALUE"""),"")</f>
        <v/>
      </c>
      <c r="U687" s="71" t="str">
        <f>IFERROR(__xludf.DUMMYFUNCTION("""COMPUTED_VALUE"""),"https://www.sec.gov/cgi-bin/browse-edgar?CIK=1843477")</f>
        <v>https://www.sec.gov/cgi-bin/browse-edgar?CIK=1843477</v>
      </c>
      <c r="V687" s="72" t="str">
        <f>IFERROR(__xludf.DUMMYFUNCTION("""COMPUTED_VALUE"""),"           Top Tier UW ")</f>
        <v>           Top Tier UW </v>
      </c>
      <c r="W687" s="73"/>
      <c r="X687" s="74"/>
      <c r="Y687" s="75"/>
      <c r="Z687" s="60"/>
      <c r="AA687" s="60"/>
      <c r="AB687" s="60"/>
      <c r="AC687" s="60"/>
      <c r="AD687" s="73"/>
      <c r="AE687" s="73"/>
      <c r="AF687" s="76"/>
      <c r="AG687" s="60"/>
    </row>
    <row r="688">
      <c r="A688" s="54" t="str">
        <f>IFERROR(__xludf.DUMMYFUNCTION("""COMPUTED_VALUE"""),"SVOK")</f>
        <v>SVOK</v>
      </c>
      <c r="B688" s="55" t="str">
        <f>IFERROR(__xludf.DUMMYFUNCTION("""COMPUTED_VALUE"""),"Seven Oaks Acquisition Corp.")</f>
        <v>Seven Oaks Acquisition Corp.</v>
      </c>
      <c r="C688" s="56" t="str">
        <f>IFERROR(__xludf.DUMMYFUNCTION("""COMPUTED_VALUE"""),"Searching")</f>
        <v>Searching</v>
      </c>
      <c r="D688" s="57" t="str">
        <f>IFERROR(__xludf.DUMMYFUNCTION("""COMPUTED_VALUE"""),"Positive Social Impact with Emphasis on ESG")</f>
        <v>Positive Social Impact with Emphasis on ESG</v>
      </c>
      <c r="E688" s="58" t="str">
        <f>IFERROR(__xludf.DUMMYFUNCTION("""COMPUTED_VALUE"""),"[In talks (unconfirmed) with Boxed: Per Bloomberg 3/11/21]")</f>
        <v>[In talks (unconfirmed) with Boxed: Per Bloomberg 3/11/21]</v>
      </c>
      <c r="F688" s="59"/>
      <c r="G688" s="60">
        <f>IFERROR(__xludf.DUMMYFUNCTION("""COMPUTED_VALUE"""),2.58749858E8)</f>
        <v>258749858</v>
      </c>
      <c r="H688" s="60">
        <f>IFERROR(__xludf.DUMMYFUNCTION("""COMPUTED_VALUE"""),2.5693875E8)</f>
        <v>256938750</v>
      </c>
      <c r="I688" s="66">
        <f>IFERROR(__xludf.DUMMYFUNCTION("""COMPUTED_VALUE"""),9.93)</f>
        <v>9.93</v>
      </c>
      <c r="J688" s="62">
        <f>IFERROR(__xludf.DUMMYFUNCTION("""COMPUTED_VALUE"""),0.00303)</f>
        <v>0.00303</v>
      </c>
      <c r="K688" s="59">
        <f>IFERROR(__xludf.DUMMYFUNCTION("""COMPUTED_VALUE"""),10.42)</f>
        <v>10.42</v>
      </c>
      <c r="L688" s="87">
        <f>IFERROR(__xludf.DUMMYFUNCTION("""COMPUTED_VALUE"""),1.01)</f>
        <v>1.01</v>
      </c>
      <c r="M688" s="64" t="str">
        <f>IFERROR(__xludf.DUMMYFUNCTION("""COMPUTED_VALUE"""),"U: [1/2 W]; W: [1:1, $11.5]")</f>
        <v>U: [1/2 W]; W: [1:1, $11.5]</v>
      </c>
      <c r="N688" s="65">
        <f>IFERROR(__xludf.DUMMYFUNCTION("""COMPUTED_VALUE"""),44237.0)</f>
        <v>44237</v>
      </c>
      <c r="O688" s="66">
        <f>IFERROR(__xludf.DUMMYFUNCTION("""COMPUTED_VALUE"""),0.0)</f>
        <v>0</v>
      </c>
      <c r="P688" s="67">
        <f>IFERROR(__xludf.DUMMYFUNCTION("""COMPUTED_VALUE"""),44182.0)</f>
        <v>44182</v>
      </c>
      <c r="Q688" s="68">
        <f>IFERROR(__xludf.DUMMYFUNCTION("""COMPUTED_VALUE"""),258.75)</f>
        <v>258.75</v>
      </c>
      <c r="R688" s="69" t="str">
        <f>IFERROR(__xludf.DUMMYFUNCTION("""COMPUTED_VALUE"""),"JonesTrading")</f>
        <v>JonesTrading</v>
      </c>
      <c r="S688" s="64">
        <f>IFERROR(__xludf.DUMMYFUNCTION("""COMPUTED_VALUE"""),44912.0)</f>
        <v>44912</v>
      </c>
      <c r="T688" s="70">
        <f>IFERROR(__xludf.DUMMYFUNCTION("""COMPUTED_VALUE"""),0.15616438356164383)</f>
        <v>0.1561643836</v>
      </c>
      <c r="U688" s="71" t="str">
        <f>IFERROR(__xludf.DUMMYFUNCTION("""COMPUTED_VALUE"""),"https://www.sec.gov/cgi-bin/browse-edgar?CIK=1828672")</f>
        <v>https://www.sec.gov/cgi-bin/browse-edgar?CIK=1828672</v>
      </c>
      <c r="V688" s="72" t="str">
        <f>IFERROR(__xludf.DUMMYFUNCTION("""COMPUTED_VALUE""")," Trading Below $10 (Common)           ")</f>
        <v> Trading Below $10 (Common)           </v>
      </c>
      <c r="W688" s="73"/>
      <c r="X688" s="74"/>
      <c r="Y688" s="75"/>
      <c r="Z688" s="60"/>
      <c r="AA688" s="60"/>
      <c r="AB688" s="60"/>
      <c r="AC688" s="60"/>
      <c r="AD688" s="73"/>
      <c r="AE688" s="73"/>
      <c r="AF688" s="76"/>
      <c r="AG688" s="60" t="str">
        <f>IFERROR(__xludf.DUMMYFUNCTION("""COMPUTED_VALUE"""),"")</f>
        <v/>
      </c>
    </row>
    <row r="689">
      <c r="A689" s="88" t="str">
        <f>IFERROR(__xludf.DUMMYFUNCTION("""COMPUTED_VALUE"""),"SWAG")</f>
        <v>SWAG</v>
      </c>
      <c r="B689" s="55" t="str">
        <f>IFERROR(__xludf.DUMMYFUNCTION("""COMPUTED_VALUE"""),"Software Acquisition Group Inc. III")</f>
        <v>Software Acquisition Group Inc. III</v>
      </c>
      <c r="C689" s="56" t="str">
        <f>IFERROR(__xludf.DUMMYFUNCTION("""COMPUTED_VALUE"""),"Pre IPO")</f>
        <v>Pre IPO</v>
      </c>
      <c r="D689" s="77" t="str">
        <f>IFERROR(__xludf.DUMMYFUNCTION("""COMPUTED_VALUE"""),"Software, Tech")</f>
        <v>Software, Tech</v>
      </c>
      <c r="E689" s="58"/>
      <c r="F689" s="59"/>
      <c r="G689" s="60">
        <f>IFERROR(__xludf.DUMMYFUNCTION("""COMPUTED_VALUE"""),2.0E8)</f>
        <v>200000000</v>
      </c>
      <c r="H689" s="60" t="str">
        <f>IFERROR(__xludf.DUMMYFUNCTION("""COMPUTED_VALUE""")," ")</f>
        <v> </v>
      </c>
      <c r="I689" s="66" t="str">
        <f>IFERROR(__xludf.DUMMYFUNCTION("""COMPUTED_VALUE""")," ")</f>
        <v> </v>
      </c>
      <c r="J689" s="62" t="str">
        <f>IFERROR(__xludf.DUMMYFUNCTION("""COMPUTED_VALUE""")," ")</f>
        <v> </v>
      </c>
      <c r="K689" s="59" t="str">
        <f>IFERROR(__xludf.DUMMYFUNCTION("""COMPUTED_VALUE""")," ")</f>
        <v> </v>
      </c>
      <c r="L689" s="87" t="str">
        <f>IFERROR(__xludf.DUMMYFUNCTION("""COMPUTED_VALUE""")," ")</f>
        <v> </v>
      </c>
      <c r="M689" s="64" t="str">
        <f>IFERROR(__xludf.DUMMYFUNCTION("""COMPUTED_VALUE"""),"U: [1/3 W]; W: [1:1, $11.5]")</f>
        <v>U: [1/3 W]; W: [1:1, $11.5]</v>
      </c>
      <c r="N689" s="65" t="str">
        <f>IFERROR(__xludf.DUMMYFUNCTION("""COMPUTED_VALUE"""),"")</f>
        <v/>
      </c>
      <c r="O689" s="66" t="str">
        <f>IFERROR(__xludf.DUMMYFUNCTION("""COMPUTED_VALUE"""),"")</f>
        <v/>
      </c>
      <c r="P689" s="67"/>
      <c r="Q689" s="68">
        <f>IFERROR(__xludf.DUMMYFUNCTION("""COMPUTED_VALUE"""),200.0)</f>
        <v>200</v>
      </c>
      <c r="R689" s="69" t="str">
        <f>IFERROR(__xludf.DUMMYFUNCTION("""COMPUTED_VALUE"""),"Jefferies")</f>
        <v>Jefferies</v>
      </c>
      <c r="S689" s="64">
        <f>IFERROR(__xludf.DUMMYFUNCTION("""COMPUTED_VALUE"""),45086.0)</f>
        <v>45086</v>
      </c>
      <c r="T689" s="70" t="str">
        <f>IFERROR(__xludf.DUMMYFUNCTION("""COMPUTED_VALUE"""),"")</f>
        <v/>
      </c>
      <c r="U689" s="71" t="str">
        <f>IFERROR(__xludf.DUMMYFUNCTION("""COMPUTED_VALUE"""),"https://www.sec.gov/cgi-bin/browse-edgar?CIK=1841800")</f>
        <v>https://www.sec.gov/cgi-bin/browse-edgar?CIK=1841800</v>
      </c>
      <c r="V689" s="72" t="str">
        <f>IFERROR(__xludf.DUMMYFUNCTION("""COMPUTED_VALUE"""),"          Serial Sponsor  ")</f>
        <v>          Serial Sponsor  </v>
      </c>
      <c r="W689" s="73"/>
      <c r="X689" s="74"/>
      <c r="Y689" s="75"/>
      <c r="Z689" s="60"/>
      <c r="AA689" s="60"/>
      <c r="AB689" s="60"/>
      <c r="AC689" s="60"/>
      <c r="AD689" s="73"/>
      <c r="AE689" s="73"/>
      <c r="AF689" s="76"/>
      <c r="AG689" s="60"/>
    </row>
    <row r="690">
      <c r="A690" s="54" t="str">
        <f>IFERROR(__xludf.DUMMYFUNCTION("""COMPUTED_VALUE"""),"SWBK")</f>
        <v>SWBK</v>
      </c>
      <c r="B690" s="55" t="str">
        <f>IFERROR(__xludf.DUMMYFUNCTION("""COMPUTED_VALUE"""),"Switchback II Corporation")</f>
        <v>Switchback II Corporation</v>
      </c>
      <c r="C690" s="56" t="str">
        <f>IFERROR(__xludf.DUMMYFUNCTION("""COMPUTED_VALUE"""),"Searching")</f>
        <v>Searching</v>
      </c>
      <c r="D690" s="57" t="str">
        <f>IFERROR(__xludf.DUMMYFUNCTION("""COMPUTED_VALUE"""),"Energy Transition, Sustainability")</f>
        <v>Energy Transition, Sustainability</v>
      </c>
      <c r="E690" s="58"/>
      <c r="F690" s="59" t="str">
        <f>IFERROR(__xludf.DUMMYFUNCTION("""COMPUTED_VALUE"""),"Scott McNeil (CEO, Switchback I), Ray Kubis (Chairman, Gridtential)")</f>
        <v>Scott McNeil (CEO, Switchback I), Ray Kubis (Chairman, Gridtential)</v>
      </c>
      <c r="G690" s="60">
        <f>IFERROR(__xludf.DUMMYFUNCTION("""COMPUTED_VALUE"""),3.1625E8)</f>
        <v>316250000</v>
      </c>
      <c r="H690" s="60">
        <f>IFERROR(__xludf.DUMMYFUNCTION("""COMPUTED_VALUE"""),3.2099375E8)</f>
        <v>320993750</v>
      </c>
      <c r="I690" s="66">
        <f>IFERROR(__xludf.DUMMYFUNCTION("""COMPUTED_VALUE"""),10.15)</f>
        <v>10.15</v>
      </c>
      <c r="J690" s="62">
        <f>IFERROR(__xludf.DUMMYFUNCTION("""COMPUTED_VALUE"""),0.00396)</f>
        <v>0.00396</v>
      </c>
      <c r="K690" s="59">
        <f>IFERROR(__xludf.DUMMYFUNCTION("""COMPUTED_VALUE"""),10.51)</f>
        <v>10.51</v>
      </c>
      <c r="L690" s="87">
        <f>IFERROR(__xludf.DUMMYFUNCTION("""COMPUTED_VALUE"""),2.2)</f>
        <v>2.2</v>
      </c>
      <c r="M690" s="64" t="str">
        <f>IFERROR(__xludf.DUMMYFUNCTION("""COMPUTED_VALUE"""),"U: [1/5 W]; W: [1:1, $11.5]")</f>
        <v>U: [1/5 W]; W: [1:1, $11.5]</v>
      </c>
      <c r="N690" s="65" t="str">
        <f>IFERROR(__xludf.DUMMYFUNCTION("""COMPUTED_VALUE"""),"")</f>
        <v/>
      </c>
      <c r="O690" s="66">
        <f>IFERROR(__xludf.DUMMYFUNCTION("""COMPUTED_VALUE"""),0.0)</f>
        <v>0</v>
      </c>
      <c r="P690" s="67">
        <f>IFERROR(__xludf.DUMMYFUNCTION("""COMPUTED_VALUE"""),44203.0)</f>
        <v>44203</v>
      </c>
      <c r="Q690" s="68">
        <f>IFERROR(__xludf.DUMMYFUNCTION("""COMPUTED_VALUE"""),316.25)</f>
        <v>316.25</v>
      </c>
      <c r="R690" s="69" t="str">
        <f>IFERROR(__xludf.DUMMYFUNCTION("""COMPUTED_VALUE"""),"Goldman Sachs")</f>
        <v>Goldman Sachs</v>
      </c>
      <c r="S690" s="64">
        <f>IFERROR(__xludf.DUMMYFUNCTION("""COMPUTED_VALUE"""),44933.0)</f>
        <v>44933</v>
      </c>
      <c r="T690" s="70">
        <f>IFERROR(__xludf.DUMMYFUNCTION("""COMPUTED_VALUE"""),0.1273972602739726)</f>
        <v>0.1273972603</v>
      </c>
      <c r="U690" s="71" t="str">
        <f>IFERROR(__xludf.DUMMYFUNCTION("""COMPUTED_VALUE"""),"https://www.sec.gov/cgi-bin/browse-edgar?CIK=1829730")</f>
        <v>https://www.sec.gov/cgi-bin/browse-edgar?CIK=1829730</v>
      </c>
      <c r="V690" s="72" t="str">
        <f>IFERROR(__xludf.DUMMYFUNCTION("""COMPUTED_VALUE"""),"          Serial Sponsor Top Tier UW ")</f>
        <v>          Serial Sponsor Top Tier UW </v>
      </c>
      <c r="W690" s="73"/>
      <c r="X690" s="74"/>
      <c r="Y690" s="75"/>
      <c r="Z690" s="60"/>
      <c r="AA690" s="60"/>
      <c r="AB690" s="60"/>
      <c r="AC690" s="60"/>
      <c r="AD690" s="73"/>
      <c r="AE690" s="73"/>
      <c r="AF690" s="76"/>
      <c r="AG690" s="60" t="str">
        <f>IFERROR(__xludf.DUMMYFUNCTION("""COMPUTED_VALUE"""),"")</f>
        <v/>
      </c>
    </row>
    <row r="691">
      <c r="A691" s="88" t="str">
        <f>IFERROR(__xludf.DUMMYFUNCTION("""COMPUTED_VALUE"""),"SWBT")</f>
        <v>SWBT</v>
      </c>
      <c r="B691" s="55" t="str">
        <f>IFERROR(__xludf.DUMMYFUNCTION("""COMPUTED_VALUE"""),"Switchback III Corp")</f>
        <v>Switchback III Corp</v>
      </c>
      <c r="C691" s="56" t="str">
        <f>IFERROR(__xludf.DUMMYFUNCTION("""COMPUTED_VALUE"""),"Pre IPO")</f>
        <v>Pre IPO</v>
      </c>
      <c r="D691" s="57" t="str">
        <f>IFERROR(__xludf.DUMMYFUNCTION("""COMPUTED_VALUE"""),"Energy Transition, Sustainability")</f>
        <v>Energy Transition, Sustainability</v>
      </c>
      <c r="E691" s="58"/>
      <c r="F691" s="59" t="str">
        <f>IFERROR(__xludf.DUMMYFUNCTION("""COMPUTED_VALUE"""),"Philip Deutch (Former COO of Social Capital)")</f>
        <v>Philip Deutch (Former COO of Social Capital)</v>
      </c>
      <c r="G691" s="60">
        <f>IFERROR(__xludf.DUMMYFUNCTION("""COMPUTED_VALUE"""),2.75E8)</f>
        <v>275000000</v>
      </c>
      <c r="H691" s="60" t="str">
        <f>IFERROR(__xludf.DUMMYFUNCTION("""COMPUTED_VALUE""")," ")</f>
        <v> </v>
      </c>
      <c r="I691" s="66" t="str">
        <f>IFERROR(__xludf.DUMMYFUNCTION("""COMPUTED_VALUE""")," ")</f>
        <v> </v>
      </c>
      <c r="J691" s="62" t="str">
        <f>IFERROR(__xludf.DUMMYFUNCTION("""COMPUTED_VALUE""")," ")</f>
        <v> </v>
      </c>
      <c r="K691" s="59" t="str">
        <f>IFERROR(__xludf.DUMMYFUNCTION("""COMPUTED_VALUE""")," ")</f>
        <v> </v>
      </c>
      <c r="L691" s="87" t="str">
        <f>IFERROR(__xludf.DUMMYFUNCTION("""COMPUTED_VALUE""")," ")</f>
        <v> </v>
      </c>
      <c r="M691" s="64" t="str">
        <f>IFERROR(__xludf.DUMMYFUNCTION("""COMPUTED_VALUE"""),"U: [1/5 W]; W: [1:1, $11.5]")</f>
        <v>U: [1/5 W]; W: [1:1, $11.5]</v>
      </c>
      <c r="N691" s="65" t="str">
        <f>IFERROR(__xludf.DUMMYFUNCTION("""COMPUTED_VALUE"""),"")</f>
        <v/>
      </c>
      <c r="O691" s="66">
        <f>IFERROR(__xludf.DUMMYFUNCTION("""COMPUTED_VALUE"""),0.0)</f>
        <v>0</v>
      </c>
      <c r="P691" s="67"/>
      <c r="Q691" s="68">
        <f>IFERROR(__xludf.DUMMYFUNCTION("""COMPUTED_VALUE"""),275.0)</f>
        <v>275</v>
      </c>
      <c r="R691" s="69" t="str">
        <f>IFERROR(__xludf.DUMMYFUNCTION("""COMPUTED_VALUE"""),"Goldman Sachs &amp; Co. LLC")</f>
        <v>Goldman Sachs &amp; Co. LLC</v>
      </c>
      <c r="S691" s="64">
        <f>IFERROR(__xludf.DUMMYFUNCTION("""COMPUTED_VALUE"""),45086.0)</f>
        <v>45086</v>
      </c>
      <c r="T691" s="70" t="str">
        <f>IFERROR(__xludf.DUMMYFUNCTION("""COMPUTED_VALUE"""),"")</f>
        <v/>
      </c>
      <c r="U691" s="71" t="str">
        <f>IFERROR(__xludf.DUMMYFUNCTION("""COMPUTED_VALUE"""),"https://www.sec.gov/cgi-bin/browse-edgar?CIK=1848267")</f>
        <v>https://www.sec.gov/cgi-bin/browse-edgar?CIK=1848267</v>
      </c>
      <c r="V691" s="72" t="str">
        <f>IFERROR(__xludf.DUMMYFUNCTION("""COMPUTED_VALUE"""),"          Serial Sponsor Top Tier UW ")</f>
        <v>          Serial Sponsor Top Tier UW </v>
      </c>
      <c r="W691" s="73"/>
      <c r="X691" s="74"/>
      <c r="Y691" s="75"/>
      <c r="Z691" s="60"/>
      <c r="AA691" s="60"/>
      <c r="AB691" s="60"/>
      <c r="AC691" s="60"/>
      <c r="AD691" s="73"/>
      <c r="AE691" s="73"/>
      <c r="AF691" s="76"/>
      <c r="AG691" s="60"/>
    </row>
    <row r="692">
      <c r="A692" s="54" t="str">
        <f>IFERROR(__xludf.DUMMYFUNCTION("""COMPUTED_VALUE"""),"SWET")</f>
        <v>SWET</v>
      </c>
      <c r="B692" s="55" t="str">
        <f>IFERROR(__xludf.DUMMYFUNCTION("""COMPUTED_VALUE"""),"Athlon Acquisition Corp.")</f>
        <v>Athlon Acquisition Corp.</v>
      </c>
      <c r="C692" s="56" t="str">
        <f>IFERROR(__xludf.DUMMYFUNCTION("""COMPUTED_VALUE"""),"Searching")</f>
        <v>Searching</v>
      </c>
      <c r="D692" s="57" t="str">
        <f>IFERROR(__xludf.DUMMYFUNCTION("""COMPUTED_VALUE"""),"Health, Wellness, Fitness (products, devices, applications, and technology)")</f>
        <v>Health, Wellness, Fitness (products, devices, applications, and technology)</v>
      </c>
      <c r="E692" s="58"/>
      <c r="F692" s="59" t="str">
        <f>IFERROR(__xludf.DUMMYFUNCTION("""COMPUTED_VALUE"""),"Mark Wan (Co-owner, Boston Celtics, SF 49ers, Leeds United, Team Liquid; Co-founder, Causeway;), Paraag Marathe (Pres, 49ers Enterprises; Exec VP Football Ops, SF 49ers), Daniel Gallagher (CFO, Crunch Holdings)")</f>
        <v>Mark Wan (Co-owner, Boston Celtics, SF 49ers, Leeds United, Team Liquid; Co-founder, Causeway;), Paraag Marathe (Pres, 49ers Enterprises; Exec VP Football Ops, SF 49ers), Daniel Gallagher (CFO, Crunch Holdings)</v>
      </c>
      <c r="G692" s="60">
        <f>IFERROR(__xludf.DUMMYFUNCTION("""COMPUTED_VALUE"""),2.76E8)</f>
        <v>276000000</v>
      </c>
      <c r="H692" s="60">
        <f>IFERROR(__xludf.DUMMYFUNCTION("""COMPUTED_VALUE"""),2.7048E8)</f>
        <v>270480000</v>
      </c>
      <c r="I692" s="66">
        <f>IFERROR(__xludf.DUMMYFUNCTION("""COMPUTED_VALUE"""),9.8)</f>
        <v>9.8</v>
      </c>
      <c r="J692" s="62"/>
      <c r="K692" s="59">
        <f>IFERROR(__xludf.DUMMYFUNCTION("""COMPUTED_VALUE"""),10.06)</f>
        <v>10.06</v>
      </c>
      <c r="L692" s="87">
        <f>IFERROR(__xludf.DUMMYFUNCTION("""COMPUTED_VALUE"""),0.67)</f>
        <v>0.67</v>
      </c>
      <c r="M692" s="64" t="str">
        <f>IFERROR(__xludf.DUMMYFUNCTION("""COMPUTED_VALUE"""),"U: [1/2 W]; W: [1:1, $11.5]")</f>
        <v>U: [1/2 W]; W: [1:1, $11.5]</v>
      </c>
      <c r="N692" s="65">
        <f>IFERROR(__xludf.DUMMYFUNCTION("""COMPUTED_VALUE"""),44260.0)</f>
        <v>44260</v>
      </c>
      <c r="O692" s="66">
        <f>IFERROR(__xludf.DUMMYFUNCTION("""COMPUTED_VALUE"""),0.0)</f>
        <v>0</v>
      </c>
      <c r="P692" s="67">
        <f>IFERROR(__xludf.DUMMYFUNCTION("""COMPUTED_VALUE"""),44207.0)</f>
        <v>44207</v>
      </c>
      <c r="Q692" s="68">
        <f>IFERROR(__xludf.DUMMYFUNCTION("""COMPUTED_VALUE"""),276.0)</f>
        <v>276</v>
      </c>
      <c r="R692" s="69" t="str">
        <f>IFERROR(__xludf.DUMMYFUNCTION("""COMPUTED_VALUE"""),"Jefferies")</f>
        <v>Jefferies</v>
      </c>
      <c r="S692" s="64">
        <f>IFERROR(__xludf.DUMMYFUNCTION("""COMPUTED_VALUE"""),44937.0)</f>
        <v>44937</v>
      </c>
      <c r="T692" s="70">
        <f>IFERROR(__xludf.DUMMYFUNCTION("""COMPUTED_VALUE"""),0.12191780821917808)</f>
        <v>0.1219178082</v>
      </c>
      <c r="U692" s="71" t="str">
        <f>IFERROR(__xludf.DUMMYFUNCTION("""COMPUTED_VALUE"""),"https://www.sec.gov/cgi-bin/browse-edgar?CIK=1828914")</f>
        <v>https://www.sec.gov/cgi-bin/browse-edgar?CIK=1828914</v>
      </c>
      <c r="V692" s="72" t="str">
        <f>IFERROR(__xludf.DUMMYFUNCTION("""COMPUTED_VALUE""")," Trading Below $10 (Common)        Well-known Sponsor   ")</f>
        <v> Trading Below $10 (Common)        Well-known Sponsor   </v>
      </c>
      <c r="W692" s="73"/>
      <c r="X692" s="74"/>
      <c r="Y692" s="75"/>
      <c r="Z692" s="60"/>
      <c r="AA692" s="60"/>
      <c r="AB692" s="60"/>
      <c r="AC692" s="60"/>
      <c r="AD692" s="73"/>
      <c r="AE692" s="73"/>
      <c r="AF692" s="76"/>
      <c r="AG692" s="60" t="str">
        <f>IFERROR(__xludf.DUMMYFUNCTION("""COMPUTED_VALUE"""),"")</f>
        <v/>
      </c>
    </row>
    <row r="693">
      <c r="A693" s="88" t="str">
        <f>IFERROR(__xludf.DUMMYFUNCTION("""COMPUTED_VALUE"""),"SWSS")</f>
        <v>SWSS</v>
      </c>
      <c r="B693" s="55" t="str">
        <f>IFERROR(__xludf.DUMMYFUNCTION("""COMPUTED_VALUE"""),"Springwater Special Situations Corp.")</f>
        <v>Springwater Special Situations Corp.</v>
      </c>
      <c r="C693" s="56" t="str">
        <f>IFERROR(__xludf.DUMMYFUNCTION("""COMPUTED_VALUE"""),"Pre IPO")</f>
        <v>Pre IPO</v>
      </c>
      <c r="D693" s="57"/>
      <c r="E693" s="58"/>
      <c r="F693" s="59" t="str">
        <f>IFERROR(__xludf.DUMMYFUNCTION("""COMPUTED_VALUE"""),"Martin Gruschka (Founder/MP, Springwater)")</f>
        <v>Martin Gruschka (Founder/MP, Springwater)</v>
      </c>
      <c r="G693" s="60">
        <f>IFERROR(__xludf.DUMMYFUNCTION("""COMPUTED_VALUE"""),1.5E8)</f>
        <v>150000000</v>
      </c>
      <c r="H693" s="60" t="str">
        <f>IFERROR(__xludf.DUMMYFUNCTION("""COMPUTED_VALUE""")," ")</f>
        <v> </v>
      </c>
      <c r="I693" s="66" t="str">
        <f>IFERROR(__xludf.DUMMYFUNCTION("""COMPUTED_VALUE""")," ")</f>
        <v> </v>
      </c>
      <c r="J693" s="62" t="str">
        <f>IFERROR(__xludf.DUMMYFUNCTION("""COMPUTED_VALUE""")," ")</f>
        <v> </v>
      </c>
      <c r="K693" s="59" t="str">
        <f>IFERROR(__xludf.DUMMYFUNCTION("""COMPUTED_VALUE""")," ")</f>
        <v> </v>
      </c>
      <c r="L693" s="87" t="str">
        <f>IFERROR(__xludf.DUMMYFUNCTION("""COMPUTED_VALUE""")," ")</f>
        <v> </v>
      </c>
      <c r="M693" s="64" t="str">
        <f>IFERROR(__xludf.DUMMYFUNCTION("""COMPUTED_VALUE"""),"U: [1/2 W]; W: [1:1, $11.5]")</f>
        <v>U: [1/2 W]; W: [1:1, $11.5]</v>
      </c>
      <c r="N693" s="65" t="str">
        <f>IFERROR(__xludf.DUMMYFUNCTION("""COMPUTED_VALUE"""),"")</f>
        <v/>
      </c>
      <c r="O693" s="66">
        <f>IFERROR(__xludf.DUMMYFUNCTION("""COMPUTED_VALUE"""),0.0)</f>
        <v>0</v>
      </c>
      <c r="P693" s="67"/>
      <c r="Q693" s="68">
        <f>IFERROR(__xludf.DUMMYFUNCTION("""COMPUTED_VALUE"""),150.0)</f>
        <v>150</v>
      </c>
      <c r="R693" s="69" t="str">
        <f>IFERROR(__xludf.DUMMYFUNCTION("""COMPUTED_VALUE"""),"EarlyBirdCapital, Inc.")</f>
        <v>EarlyBirdCapital, Inc.</v>
      </c>
      <c r="S693" s="64">
        <f>IFERROR(__xludf.DUMMYFUNCTION("""COMPUTED_VALUE"""),45086.0)</f>
        <v>45086</v>
      </c>
      <c r="T693" s="70" t="str">
        <f>IFERROR(__xludf.DUMMYFUNCTION("""COMPUTED_VALUE"""),"")</f>
        <v/>
      </c>
      <c r="U693" s="71" t="str">
        <f>IFERROR(__xludf.DUMMYFUNCTION("""COMPUTED_VALUE"""),"https://www.sec.gov/cgi-bin/browse-edgar?CIK=1838000")</f>
        <v>https://www.sec.gov/cgi-bin/browse-edgar?CIK=1838000</v>
      </c>
      <c r="V693" s="72" t="str">
        <f>IFERROR(__xludf.DUMMYFUNCTION("""COMPUTED_VALUE"""),"            ")</f>
        <v>            </v>
      </c>
      <c r="W693" s="73"/>
      <c r="X693" s="74"/>
      <c r="Y693" s="75"/>
      <c r="Z693" s="60"/>
      <c r="AA693" s="60"/>
      <c r="AB693" s="60"/>
      <c r="AC693" s="60"/>
      <c r="AD693" s="73"/>
      <c r="AE693" s="73"/>
      <c r="AF693" s="76"/>
      <c r="AG693" s="60"/>
    </row>
    <row r="694">
      <c r="A694" s="88" t="str">
        <f>IFERROR(__xludf.DUMMYFUNCTION("""COMPUTED_VALUE"""),"SZZL")</f>
        <v>SZZL</v>
      </c>
      <c r="B694" s="55" t="str">
        <f>IFERROR(__xludf.DUMMYFUNCTION("""COMPUTED_VALUE"""),"Sizzle Acquisition Corp.")</f>
        <v>Sizzle Acquisition Corp.</v>
      </c>
      <c r="C694" s="56" t="str">
        <f>IFERROR(__xludf.DUMMYFUNCTION("""COMPUTED_VALUE"""),"Pre IPO")</f>
        <v>Pre IPO</v>
      </c>
      <c r="D694" s="77" t="str">
        <f>IFERROR(__xludf.DUMMYFUNCTION("""COMPUTED_VALUE"""),"Restaurant, Hospitality, Food and beverage, Retail, Consumer, Food and Food related Tech, Real Estate, Proptech")</f>
        <v>Restaurant, Hospitality, Food and beverage, Retail, Consumer, Food and Food related Tech, Real Estate, Proptech</v>
      </c>
      <c r="E694" s="58"/>
      <c r="F694" s="59" t="str">
        <f>IFERROR(__xludf.DUMMYFUNCTION("""COMPUTED_VALUE"""),"Steve Salis (Co-founder of &amp;pizza), Jamie Karson (Former Chairman &amp; CEO of Steve Madden)")</f>
        <v>Steve Salis (Co-founder of &amp;pizza), Jamie Karson (Former Chairman &amp; CEO of Steve Madden)</v>
      </c>
      <c r="G694" s="60">
        <f>IFERROR(__xludf.DUMMYFUNCTION("""COMPUTED_VALUE"""),1.25E8)</f>
        <v>125000000</v>
      </c>
      <c r="H694" s="60" t="str">
        <f>IFERROR(__xludf.DUMMYFUNCTION("""COMPUTED_VALUE""")," ")</f>
        <v> </v>
      </c>
      <c r="I694" s="66" t="str">
        <f>IFERROR(__xludf.DUMMYFUNCTION("""COMPUTED_VALUE""")," ")</f>
        <v> </v>
      </c>
      <c r="J694" s="62" t="str">
        <f>IFERROR(__xludf.DUMMYFUNCTION("""COMPUTED_VALUE""")," ")</f>
        <v> </v>
      </c>
      <c r="K694" s="59" t="str">
        <f>IFERROR(__xludf.DUMMYFUNCTION("""COMPUTED_VALUE""")," ")</f>
        <v> </v>
      </c>
      <c r="L694" s="87" t="str">
        <f>IFERROR(__xludf.DUMMYFUNCTION("""COMPUTED_VALUE""")," ")</f>
        <v> </v>
      </c>
      <c r="M694" s="64" t="str">
        <f>IFERROR(__xludf.DUMMYFUNCTION("""COMPUTED_VALUE"""),"U: [1/2 W]; W: [1:1, $11.5]")</f>
        <v>U: [1/2 W]; W: [1:1, $11.5]</v>
      </c>
      <c r="N694" s="65" t="str">
        <f>IFERROR(__xludf.DUMMYFUNCTION("""COMPUTED_VALUE"""),"")</f>
        <v/>
      </c>
      <c r="O694" s="66">
        <f>IFERROR(__xludf.DUMMYFUNCTION("""COMPUTED_VALUE"""),0.0)</f>
        <v>0</v>
      </c>
      <c r="P694" s="67"/>
      <c r="Q694" s="68">
        <f>IFERROR(__xludf.DUMMYFUNCTION("""COMPUTED_VALUE"""),125.0)</f>
        <v>125</v>
      </c>
      <c r="R694" s="69" t="str">
        <f>IFERROR(__xludf.DUMMYFUNCTION("""COMPUTED_VALUE"""),"EarlyBirdCapital, Inc.")</f>
        <v>EarlyBirdCapital, Inc.</v>
      </c>
      <c r="S694" s="64">
        <f>IFERROR(__xludf.DUMMYFUNCTION("""COMPUTED_VALUE"""),45086.0)</f>
        <v>45086</v>
      </c>
      <c r="T694" s="70" t="str">
        <f>IFERROR(__xludf.DUMMYFUNCTION("""COMPUTED_VALUE"""),"")</f>
        <v/>
      </c>
      <c r="U694" s="71" t="str">
        <f>IFERROR(__xludf.DUMMYFUNCTION("""COMPUTED_VALUE"""),"https://www.sec.gov/cgi-bin/browse-edgar?CIK=1829322")</f>
        <v>https://www.sec.gov/cgi-bin/browse-edgar?CIK=1829322</v>
      </c>
      <c r="V694" s="72" t="str">
        <f>IFERROR(__xludf.DUMMYFUNCTION("""COMPUTED_VALUE"""),"         Well-known Sponsor   ")</f>
        <v>         Well-known Sponsor   </v>
      </c>
      <c r="W694" s="73"/>
      <c r="X694" s="74"/>
      <c r="Y694" s="75"/>
      <c r="Z694" s="60"/>
      <c r="AA694" s="60"/>
      <c r="AB694" s="60"/>
      <c r="AC694" s="60"/>
      <c r="AD694" s="73"/>
      <c r="AE694" s="73"/>
      <c r="AF694" s="76"/>
      <c r="AG694" s="60"/>
    </row>
    <row r="695">
      <c r="A695" s="54" t="str">
        <f>IFERROR(__xludf.DUMMYFUNCTION("""COMPUTED_VALUE"""),"TACA")</f>
        <v>TACA</v>
      </c>
      <c r="B695" s="55" t="str">
        <f>IFERROR(__xludf.DUMMYFUNCTION("""COMPUTED_VALUE"""),"Trepont Acquisition Corp I")</f>
        <v>Trepont Acquisition Corp I</v>
      </c>
      <c r="C695" s="56" t="str">
        <f>IFERROR(__xludf.DUMMYFUNCTION("""COMPUTED_VALUE"""),"Searching")</f>
        <v>Searching</v>
      </c>
      <c r="D695" s="57" t="str">
        <f>IFERROR(__xludf.DUMMYFUNCTION("""COMPUTED_VALUE"""),"Tech ")</f>
        <v>Tech </v>
      </c>
      <c r="E695" s="58"/>
      <c r="F695" s="59" t="str">
        <f>IFERROR(__xludf.DUMMYFUNCTION("""COMPUTED_VALUE"""),"Arun Sarin (Fmr CEO, Vodafone; Director of Accenture PLC, Cisco systems, Charles Schwab), Brenton Saunders (Fmr CEO, Allergan)")</f>
        <v>Arun Sarin (Fmr CEO, Vodafone; Director of Accenture PLC, Cisco systems, Charles Schwab), Brenton Saunders (Fmr CEO, Allergan)</v>
      </c>
      <c r="G695" s="60">
        <f>IFERROR(__xludf.DUMMYFUNCTION("""COMPUTED_VALUE"""),2.323E8)</f>
        <v>232300000</v>
      </c>
      <c r="H695" s="60">
        <f>IFERROR(__xludf.DUMMYFUNCTION("""COMPUTED_VALUE"""),2.2862E8)</f>
        <v>228620000</v>
      </c>
      <c r="I695" s="66">
        <f>IFERROR(__xludf.DUMMYFUNCTION("""COMPUTED_VALUE"""),9.94)</f>
        <v>9.94</v>
      </c>
      <c r="J695" s="62">
        <f>IFERROR(__xludf.DUMMYFUNCTION("""COMPUTED_VALUE"""),0.00202)</f>
        <v>0.00202</v>
      </c>
      <c r="K695" s="59">
        <f>IFERROR(__xludf.DUMMYFUNCTION("""COMPUTED_VALUE"""),10.35)</f>
        <v>10.35</v>
      </c>
      <c r="L695" s="87">
        <f>IFERROR(__xludf.DUMMYFUNCTION("""COMPUTED_VALUE"""),0.8798)</f>
        <v>0.8798</v>
      </c>
      <c r="M695" s="64" t="str">
        <f>IFERROR(__xludf.DUMMYFUNCTION("""COMPUTED_VALUE"""),"U: [1/2 W]; W: [1:1, $11.5]")</f>
        <v>U: [1/2 W]; W: [1:1, $11.5]</v>
      </c>
      <c r="N695" s="65" t="str">
        <f>IFERROR(__xludf.DUMMYFUNCTION("""COMPUTED_VALUE"""),"")</f>
        <v/>
      </c>
      <c r="O695" s="66">
        <f>IFERROR(__xludf.DUMMYFUNCTION("""COMPUTED_VALUE"""),0.0)</f>
        <v>0</v>
      </c>
      <c r="P695" s="67">
        <f>IFERROR(__xludf.DUMMYFUNCTION("""COMPUTED_VALUE"""),44166.0)</f>
        <v>44166</v>
      </c>
      <c r="Q695" s="68">
        <f>IFERROR(__xludf.DUMMYFUNCTION("""COMPUTED_VALUE"""),232.3)</f>
        <v>232.3</v>
      </c>
      <c r="R695" s="69" t="str">
        <f>IFERROR(__xludf.DUMMYFUNCTION("""COMPUTED_VALUE"""),"Credit Suisse")</f>
        <v>Credit Suisse</v>
      </c>
      <c r="S695" s="64">
        <f>IFERROR(__xludf.DUMMYFUNCTION("""COMPUTED_VALUE"""),44713.5)</f>
        <v>44713.5</v>
      </c>
      <c r="T695" s="70">
        <f>IFERROR(__xludf.DUMMYFUNCTION("""COMPUTED_VALUE"""),0.2374429223744292)</f>
        <v>0.2374429224</v>
      </c>
      <c r="U695" s="71" t="str">
        <f>IFERROR(__xludf.DUMMYFUNCTION("""COMPUTED_VALUE"""),"https://www.sec.gov/cgi-bin/browse-edgar?CIK=1826991")</f>
        <v>https://www.sec.gov/cgi-bin/browse-edgar?CIK=1826991</v>
      </c>
      <c r="V695" s="72" t="str">
        <f>IFERROR(__xludf.DUMMYFUNCTION("""COMPUTED_VALUE""")," Trading Below $10 (Common)        Well-known Sponsor   ")</f>
        <v> Trading Below $10 (Common)        Well-known Sponsor   </v>
      </c>
      <c r="W695" s="73"/>
      <c r="X695" s="74"/>
      <c r="Y695" s="75"/>
      <c r="Z695" s="60"/>
      <c r="AA695" s="60"/>
      <c r="AB695" s="60"/>
      <c r="AC695" s="60"/>
      <c r="AD695" s="73"/>
      <c r="AE695" s="73"/>
      <c r="AF695" s="76"/>
      <c r="AG695" s="60" t="str">
        <f>IFERROR(__xludf.DUMMYFUNCTION("""COMPUTED_VALUE"""),"")</f>
        <v/>
      </c>
    </row>
    <row r="696">
      <c r="A696" s="88" t="str">
        <f>IFERROR(__xludf.DUMMYFUNCTION("""COMPUTED_VALUE"""),"TACQ")</f>
        <v>TACQ</v>
      </c>
      <c r="B696" s="55" t="str">
        <f>IFERROR(__xludf.DUMMYFUNCTION("""COMPUTED_VALUE"""),"Tetragon Acquisition Corp I")</f>
        <v>Tetragon Acquisition Corp I</v>
      </c>
      <c r="C696" s="56" t="str">
        <f>IFERROR(__xludf.DUMMYFUNCTION("""COMPUTED_VALUE"""),"Pre IPO")</f>
        <v>Pre IPO</v>
      </c>
      <c r="D696" s="57"/>
      <c r="E696" s="58"/>
      <c r="F696" s="59"/>
      <c r="G696" s="60">
        <f>IFERROR(__xludf.DUMMYFUNCTION("""COMPUTED_VALUE"""),5.0E8)</f>
        <v>500000000</v>
      </c>
      <c r="H696" s="60" t="str">
        <f>IFERROR(__xludf.DUMMYFUNCTION("""COMPUTED_VALUE""")," ")</f>
        <v> </v>
      </c>
      <c r="I696" s="66" t="str">
        <f>IFERROR(__xludf.DUMMYFUNCTION("""COMPUTED_VALUE""")," ")</f>
        <v> </v>
      </c>
      <c r="J696" s="62" t="str">
        <f>IFERROR(__xludf.DUMMYFUNCTION("""COMPUTED_VALUE""")," ")</f>
        <v> </v>
      </c>
      <c r="K696" s="59" t="str">
        <f>IFERROR(__xludf.DUMMYFUNCTION("""COMPUTED_VALUE""")," ")</f>
        <v> </v>
      </c>
      <c r="L696" s="87" t="str">
        <f>IFERROR(__xludf.DUMMYFUNCTION("""COMPUTED_VALUE""")," ")</f>
        <v> </v>
      </c>
      <c r="M696" s="64" t="str">
        <f>IFERROR(__xludf.DUMMYFUNCTION("""COMPUTED_VALUE"""),"U: [1/3 W]; W: [1:1, $11.5]")</f>
        <v>U: [1/3 W]; W: [1:1, $11.5]</v>
      </c>
      <c r="N696" s="65" t="str">
        <f>IFERROR(__xludf.DUMMYFUNCTION("""COMPUTED_VALUE"""),"")</f>
        <v/>
      </c>
      <c r="O696" s="66">
        <f>IFERROR(__xludf.DUMMYFUNCTION("""COMPUTED_VALUE"""),0.0)</f>
        <v>0</v>
      </c>
      <c r="P696" s="67"/>
      <c r="Q696" s="68">
        <f>IFERROR(__xludf.DUMMYFUNCTION("""COMPUTED_VALUE"""),300.0)</f>
        <v>300</v>
      </c>
      <c r="R696" s="69" t="str">
        <f>IFERROR(__xludf.DUMMYFUNCTION("""COMPUTED_VALUE"""),"BofA Securities, J.P. Morgan
")</f>
        <v>BofA Securities, J.P. Morgan
</v>
      </c>
      <c r="S696" s="64">
        <f>IFERROR(__xludf.DUMMYFUNCTION("""COMPUTED_VALUE"""),45086.0)</f>
        <v>45086</v>
      </c>
      <c r="T696" s="70" t="str">
        <f>IFERROR(__xludf.DUMMYFUNCTION("""COMPUTED_VALUE"""),"")</f>
        <v/>
      </c>
      <c r="U696" s="71" t="str">
        <f>IFERROR(__xludf.DUMMYFUNCTION("""COMPUTED_VALUE"""),"https://www.sec.gov/cgi-bin/browse-edgar?CIK=1852038")</f>
        <v>https://www.sec.gov/cgi-bin/browse-edgar?CIK=1852038</v>
      </c>
      <c r="V696" s="72" t="str">
        <f>IFERROR(__xludf.DUMMYFUNCTION("""COMPUTED_VALUE"""),"   $500M+ Trust    New Registration   Top Tier UW ")</f>
        <v>   $500M+ Trust    New Registration   Top Tier UW </v>
      </c>
      <c r="W696" s="73"/>
      <c r="X696" s="74"/>
      <c r="Y696" s="75"/>
      <c r="Z696" s="60"/>
      <c r="AA696" s="60"/>
      <c r="AB696" s="60"/>
      <c r="AC696" s="60"/>
      <c r="AD696" s="73"/>
      <c r="AE696" s="73"/>
      <c r="AF696" s="76"/>
      <c r="AG696" s="60"/>
    </row>
    <row r="697">
      <c r="A697" s="54" t="str">
        <f>IFERROR(__xludf.DUMMYFUNCTION("""COMPUTED_VALUE"""),"TBA")</f>
        <v>TBA</v>
      </c>
      <c r="B697" s="55" t="str">
        <f>IFERROR(__xludf.DUMMYFUNCTION("""COMPUTED_VALUE"""),"Thoma Bravo Advantage")</f>
        <v>Thoma Bravo Advantage</v>
      </c>
      <c r="C697" s="56" t="str">
        <f>IFERROR(__xludf.DUMMYFUNCTION("""COMPUTED_VALUE"""),"Definitive Agreement")</f>
        <v>Definitive Agreement</v>
      </c>
      <c r="D697" s="57" t="str">
        <f>IFERROR(__xludf.DUMMYFUNCTION("""COMPUTED_VALUE"""),"Software, Tech")</f>
        <v>Software, Tech</v>
      </c>
      <c r="E697" s="58" t="str">
        <f>IFERROR(__xludf.DUMMYFUNCTION("""COMPUTED_VALUE"""),"IronSource [DA: 03/21/21]")</f>
        <v>IronSource [DA: 03/21/21]</v>
      </c>
      <c r="F697" s="59" t="str">
        <f>IFERROR(__xludf.DUMMYFUNCTION("""COMPUTED_VALUE"""),"Orlando Bravo (Founder, Thoma Bravo), Les Brun (CEO, Sarr Group)")</f>
        <v>Orlando Bravo (Founder, Thoma Bravo), Les Brun (CEO, Sarr Group)</v>
      </c>
      <c r="G697" s="60">
        <f>IFERROR(__xludf.DUMMYFUNCTION("""COMPUTED_VALUE"""),1.0E9)</f>
        <v>1000000000</v>
      </c>
      <c r="H697" s="60">
        <f>IFERROR(__xludf.DUMMYFUNCTION("""COMPUTED_VALUE"""),1.0496E9)</f>
        <v>1049600000</v>
      </c>
      <c r="I697" s="66">
        <f>IFERROR(__xludf.DUMMYFUNCTION("""COMPUTED_VALUE"""),10.25)</f>
        <v>10.25</v>
      </c>
      <c r="J697" s="62">
        <f>IFERROR(__xludf.DUMMYFUNCTION("""COMPUTED_VALUE"""),-0.00195)</f>
        <v>-0.00195</v>
      </c>
      <c r="K697" s="59" t="str">
        <f>IFERROR(__xludf.DUMMYFUNCTION("""COMPUTED_VALUE""")," ")</f>
        <v> </v>
      </c>
      <c r="L697" s="87" t="str">
        <f>IFERROR(__xludf.DUMMYFUNCTION("""COMPUTED_VALUE""")," ")</f>
        <v> </v>
      </c>
      <c r="M697" s="64" t="str">
        <f>IFERROR(__xludf.DUMMYFUNCTION("""COMPUTED_VALUE"""),"U: [No units]; W: [No warrants]")</f>
        <v>U: [No units]; W: [No warrants]</v>
      </c>
      <c r="N697" s="65" t="str">
        <f>IFERROR(__xludf.DUMMYFUNCTION("""COMPUTED_VALUE"""),"")</f>
        <v/>
      </c>
      <c r="O697" s="66">
        <f>IFERROR(__xludf.DUMMYFUNCTION("""COMPUTED_VALUE"""),0.0)</f>
        <v>0</v>
      </c>
      <c r="P697" s="67">
        <f>IFERROR(__xludf.DUMMYFUNCTION("""COMPUTED_VALUE"""),44210.0)</f>
        <v>44210</v>
      </c>
      <c r="Q697" s="68">
        <f>IFERROR(__xludf.DUMMYFUNCTION("""COMPUTED_VALUE"""),1000.0)</f>
        <v>1000</v>
      </c>
      <c r="R697" s="69" t="str">
        <f>IFERROR(__xludf.DUMMYFUNCTION("""COMPUTED_VALUE"""),"Citigroup, Deutsche Bank, Goldman Sachs")</f>
        <v>Citigroup, Deutsche Bank, Goldman Sachs</v>
      </c>
      <c r="S697" s="64">
        <f>IFERROR(__xludf.DUMMYFUNCTION("""COMPUTED_VALUE"""),44940.0)</f>
        <v>44940</v>
      </c>
      <c r="T697" s="70">
        <f>IFERROR(__xludf.DUMMYFUNCTION("""COMPUTED_VALUE"""),0.1178082191780822)</f>
        <v>0.1178082192</v>
      </c>
      <c r="U697" s="71" t="str">
        <f>IFERROR(__xludf.DUMMYFUNCTION("""COMPUTED_VALUE"""),"https://www.sec.gov/cgi-bin/browse-edgar?CIK=1832459")</f>
        <v>https://www.sec.gov/cgi-bin/browse-edgar?CIK=1832459</v>
      </c>
      <c r="V697" s="72" t="str">
        <f>IFERROR(__xludf.DUMMYFUNCTION("""COMPUTED_VALUE"""),"   $500M+ Trust Optionable    Well-known Sponsor  Top Tier UW ")</f>
        <v>   $500M+ Trust Optionable    Well-known Sponsor  Top Tier UW </v>
      </c>
      <c r="W697" s="73">
        <f>IFERROR(__xludf.DUMMYFUNCTION("""COMPUTED_VALUE"""),44276.0)</f>
        <v>44276</v>
      </c>
      <c r="X697" s="79">
        <f>IFERROR(__xludf.DUMMYFUNCTION("""COMPUTED_VALUE"""),2.2)</f>
        <v>2.2</v>
      </c>
      <c r="Y697" s="80" t="str">
        <f>IFERROR(__xludf.DUMMYFUNCTION("""COMPUTED_VALUE"""),"https://www.prnewswire.com/news-releases/ironsource-announces-combination-with-thoma-bravo-advantage-to-create-a-publicly-traded-business-platform-for-the-app-economy-301252534.html?tc=eml_cleartime&amp;utm_source=social_organic&amp;utm_medium=Twitter&amp;utm_term=an"&amp;"nouncement&amp;utm_content=pr")</f>
        <v>https://www.prnewswire.com/news-releases/ironsource-announces-combination-with-thoma-bravo-advantage-to-create-a-publicly-traded-business-platform-for-the-app-economy-301252534.html?tc=eml_cleartime&amp;utm_source=social_organic&amp;utm_medium=Twitter&amp;utm_term=announcement&amp;utm_content=pr</v>
      </c>
      <c r="Z697" s="81" t="str">
        <f>IFERROR(__xludf.DUMMYFUNCTION("""COMPUTED_VALUE"""),"https://www.sec.gov/Archives/edgar/data/1832459/000119312521088431/d931869dex992.htm")</f>
        <v>https://www.sec.gov/Archives/edgar/data/1832459/000119312521088431/d931869dex992.htm</v>
      </c>
      <c r="AA697" s="60">
        <f>IFERROR(__xludf.DUMMYFUNCTION("""COMPUTED_VALUE"""),1.3E9)</f>
        <v>1300000000</v>
      </c>
      <c r="AB697" s="60">
        <f>IFERROR(__xludf.DUMMYFUNCTION("""COMPUTED_VALUE"""),1.1074E10)</f>
        <v>11074000000</v>
      </c>
      <c r="AC697" s="60">
        <f>IFERROR(__xludf.DUMMYFUNCTION("""COMPUTED_VALUE"""),1.0334E10)</f>
        <v>10334000000</v>
      </c>
      <c r="AD697" s="73"/>
      <c r="AE697" s="73"/>
      <c r="AF697" s="76">
        <f>IFERROR(__xludf.DUMMYFUNCTION("""COMPUTED_VALUE"""),1.1074E9)</f>
        <v>1107400000</v>
      </c>
      <c r="AG697" s="60">
        <f>IFERROR(__xludf.DUMMYFUNCTION("""COMPUTED_VALUE"""),1.135085E10)</f>
        <v>11350850000</v>
      </c>
    </row>
    <row r="698">
      <c r="A698" s="54" t="str">
        <f>IFERROR(__xludf.DUMMYFUNCTION("""COMPUTED_VALUE"""),"TBCP")</f>
        <v>TBCP</v>
      </c>
      <c r="B698" s="55" t="str">
        <f>IFERROR(__xludf.DUMMYFUNCTION("""COMPUTED_VALUE"""),"Thunder Bridge Capital Partners III Inc.")</f>
        <v>Thunder Bridge Capital Partners III Inc.</v>
      </c>
      <c r="C698" s="56" t="str">
        <f>IFERROR(__xludf.DUMMYFUNCTION("""COMPUTED_VALUE"""),"Searching")</f>
        <v>Searching</v>
      </c>
      <c r="D698" s="57" t="str">
        <f>IFERROR(__xludf.DUMMYFUNCTION("""COMPUTED_VALUE"""),"Financial Services, Fintech")</f>
        <v>Financial Services, Fintech</v>
      </c>
      <c r="E698" s="58"/>
      <c r="F698" s="59" t="str">
        <f>IFERROR(__xludf.DUMMYFUNCTION("""COMPUTED_VALUE"""),"David Mangum (Fmr CFO, Global Payments; Fmr CFO, CheckFree Corp), Peter Kight (Founder, CheckFree (acquired by FiServ), Director, Bill.com)")</f>
        <v>David Mangum (Fmr CFO, Global Payments; Fmr CFO, CheckFree Corp), Peter Kight (Founder, CheckFree (acquired by FiServ), Director, Bill.com)</v>
      </c>
      <c r="G698" s="60">
        <f>IFERROR(__xludf.DUMMYFUNCTION("""COMPUTED_VALUE"""),4.14E8)</f>
        <v>414000000</v>
      </c>
      <c r="H698" s="60">
        <f>IFERROR(__xludf.DUMMYFUNCTION("""COMPUTED_VALUE"""),4.12758E8)</f>
        <v>412758000</v>
      </c>
      <c r="I698" s="66">
        <f>IFERROR(__xludf.DUMMYFUNCTION("""COMPUTED_VALUE"""),9.97)</f>
        <v>9.97</v>
      </c>
      <c r="J698" s="62">
        <f>IFERROR(__xludf.DUMMYFUNCTION("""COMPUTED_VALUE"""),0.01527)</f>
        <v>0.01527</v>
      </c>
      <c r="K698" s="59">
        <f>IFERROR(__xludf.DUMMYFUNCTION("""COMPUTED_VALUE"""),10.09)</f>
        <v>10.09</v>
      </c>
      <c r="L698" s="87">
        <f>IFERROR(__xludf.DUMMYFUNCTION("""COMPUTED_VALUE"""),1.28)</f>
        <v>1.28</v>
      </c>
      <c r="M698" s="64" t="str">
        <f>IFERROR(__xludf.DUMMYFUNCTION("""COMPUTED_VALUE"""),"U: [1/5 W]; W: [1:1, $11.5]")</f>
        <v>U: [1/5 W]; W: [1:1, $11.5]</v>
      </c>
      <c r="N698" s="65">
        <f>IFERROR(__xludf.DUMMYFUNCTION("""COMPUTED_VALUE"""),44284.0)</f>
        <v>44284</v>
      </c>
      <c r="O698" s="66">
        <f>IFERROR(__xludf.DUMMYFUNCTION("""COMPUTED_VALUE"""),0.0)</f>
        <v>0</v>
      </c>
      <c r="P698" s="67">
        <f>IFERROR(__xludf.DUMMYFUNCTION("""COMPUTED_VALUE"""),44231.0)</f>
        <v>44231</v>
      </c>
      <c r="Q698" s="68">
        <f>IFERROR(__xludf.DUMMYFUNCTION("""COMPUTED_VALUE"""),414.0)</f>
        <v>414</v>
      </c>
      <c r="R698" s="69" t="str">
        <f>IFERROR(__xludf.DUMMYFUNCTION("""COMPUTED_VALUE"""),"Morgan Stanley")</f>
        <v>Morgan Stanley</v>
      </c>
      <c r="S698" s="64">
        <f>IFERROR(__xludf.DUMMYFUNCTION("""COMPUTED_VALUE"""),44961.0)</f>
        <v>44961</v>
      </c>
      <c r="T698" s="70">
        <f>IFERROR(__xludf.DUMMYFUNCTION("""COMPUTED_VALUE"""),0.08904109589041095)</f>
        <v>0.08904109589</v>
      </c>
      <c r="U698" s="71" t="str">
        <f>IFERROR(__xludf.DUMMYFUNCTION("""COMPUTED_VALUE"""),"https://www.sec.gov/cgi-bin/browse-edgar?CIK=1815753")</f>
        <v>https://www.sec.gov/cgi-bin/browse-edgar?CIK=1815753</v>
      </c>
      <c r="V698" s="72" t="str">
        <f>IFERROR(__xludf.DUMMYFUNCTION("""COMPUTED_VALUE""")," Trading Below $10 (Common)         Serial Sponsor Top Tier UW ")</f>
        <v> Trading Below $10 (Common)         Serial Sponsor Top Tier UW </v>
      </c>
      <c r="W698" s="73"/>
      <c r="X698" s="74"/>
      <c r="Y698" s="75"/>
      <c r="Z698" s="60"/>
      <c r="AA698" s="60"/>
      <c r="AB698" s="60"/>
      <c r="AC698" s="60"/>
      <c r="AD698" s="73"/>
      <c r="AE698" s="73"/>
      <c r="AF698" s="76"/>
      <c r="AG698" s="60" t="str">
        <f>IFERROR(__xludf.DUMMYFUNCTION("""COMPUTED_VALUE"""),"")</f>
        <v/>
      </c>
    </row>
    <row r="699">
      <c r="A699" s="88" t="str">
        <f>IFERROR(__xludf.DUMMYFUNCTION("""COMPUTED_VALUE"""),"TBSA")</f>
        <v>TBSA</v>
      </c>
      <c r="B699" s="55" t="str">
        <f>IFERROR(__xludf.DUMMYFUNCTION("""COMPUTED_VALUE"""),"TB SA Acquisition Corp")</f>
        <v>TB SA Acquisition Corp</v>
      </c>
      <c r="C699" s="56" t="str">
        <f>IFERROR(__xludf.DUMMYFUNCTION("""COMPUTED_VALUE"""),"Searching (Pre Unit Split)")</f>
        <v>Searching (Pre Unit Split)</v>
      </c>
      <c r="D699" s="77" t="str">
        <f>IFERROR(__xludf.DUMMYFUNCTION("""COMPUTED_VALUE"""),"ESG-focused in Africa")</f>
        <v>ESG-focused in Africa</v>
      </c>
      <c r="E699" s="58"/>
      <c r="F699" s="59" t="str">
        <f>IFERROR(__xludf.DUMMYFUNCTION("""COMPUTED_VALUE"""),"Gareth Penny (Chair, Norilsk Nickel; Chair, Ninety One Plc)")</f>
        <v>Gareth Penny (Chair, Norilsk Nickel; Chair, Ninety One Plc)</v>
      </c>
      <c r="G699" s="60">
        <f>IFERROR(__xludf.DUMMYFUNCTION("""COMPUTED_VALUE"""),2.0E8)</f>
        <v>200000000</v>
      </c>
      <c r="H699" s="60" t="str">
        <f>IFERROR(__xludf.DUMMYFUNCTION("""COMPUTED_VALUE""")," ")</f>
        <v> </v>
      </c>
      <c r="I699" s="66" t="str">
        <f>IFERROR(__xludf.DUMMYFUNCTION("""COMPUTED_VALUE""")," ")</f>
        <v> </v>
      </c>
      <c r="J699" s="62" t="str">
        <f>IFERROR(__xludf.DUMMYFUNCTION("""COMPUTED_VALUE""")," ")</f>
        <v> </v>
      </c>
      <c r="K699" s="59">
        <f>IFERROR(__xludf.DUMMYFUNCTION("""COMPUTED_VALUE"""),9.9)</f>
        <v>9.9</v>
      </c>
      <c r="L699" s="87" t="str">
        <f>IFERROR(__xludf.DUMMYFUNCTION("""COMPUTED_VALUE""")," ")</f>
        <v> </v>
      </c>
      <c r="M699" s="64" t="str">
        <f>IFERROR(__xludf.DUMMYFUNCTION("""COMPUTED_VALUE"""),"U: [1/3 W]; W: [1:1, $11.5]")</f>
        <v>U: [1/3 W]; W: [1:1, $11.5]</v>
      </c>
      <c r="N699" s="65">
        <f>IFERROR(__xludf.DUMMYFUNCTION("""COMPUTED_VALUE"""),44330.0)</f>
        <v>44330</v>
      </c>
      <c r="O699" s="66" t="str">
        <f>IFERROR(__xludf.DUMMYFUNCTION("""COMPUTED_VALUE"""),"")</f>
        <v/>
      </c>
      <c r="P699" s="67">
        <f>IFERROR(__xludf.DUMMYFUNCTION("""COMPUTED_VALUE"""),44278.0)</f>
        <v>44278</v>
      </c>
      <c r="Q699" s="68">
        <f>IFERROR(__xludf.DUMMYFUNCTION("""COMPUTED_VALUE"""),200.0)</f>
        <v>200</v>
      </c>
      <c r="R699" s="69" t="str">
        <f>IFERROR(__xludf.DUMMYFUNCTION("""COMPUTED_VALUE"""),"Deutsche Bank Securities")</f>
        <v>Deutsche Bank Securities</v>
      </c>
      <c r="S699" s="64">
        <f>IFERROR(__xludf.DUMMYFUNCTION("""COMPUTED_VALUE"""),45008.0)</f>
        <v>45008</v>
      </c>
      <c r="T699" s="70">
        <f>IFERROR(__xludf.DUMMYFUNCTION("""COMPUTED_VALUE"""),0.024657534246575342)</f>
        <v>0.02465753425</v>
      </c>
      <c r="U699" s="71" t="str">
        <f>IFERROR(__xludf.DUMMYFUNCTION("""COMPUTED_VALUE"""),"https://www.sec.gov/cgi-bin/browse-edgar?CIK=1843764")</f>
        <v>https://www.sec.gov/cgi-bin/browse-edgar?CIK=1843764</v>
      </c>
      <c r="V699" s="72" t="str">
        <f>IFERROR(__xludf.DUMMYFUNCTION("""COMPUTED_VALUE"""),"            ")</f>
        <v>            </v>
      </c>
      <c r="W699" s="73"/>
      <c r="X699" s="74"/>
      <c r="Y699" s="75"/>
      <c r="Z699" s="60"/>
      <c r="AA699" s="60"/>
      <c r="AB699" s="60"/>
      <c r="AC699" s="60"/>
      <c r="AD699" s="73"/>
      <c r="AE699" s="73"/>
      <c r="AF699" s="76"/>
      <c r="AG699" s="60"/>
    </row>
    <row r="700">
      <c r="A700" s="54" t="str">
        <f>IFERROR(__xludf.DUMMYFUNCTION("""COMPUTED_VALUE"""),"TCAC")</f>
        <v>TCAC</v>
      </c>
      <c r="B700" s="55" t="str">
        <f>IFERROR(__xludf.DUMMYFUNCTION("""COMPUTED_VALUE"""),"Tuatara Capital Acquisition Corporation")</f>
        <v>Tuatara Capital Acquisition Corporation</v>
      </c>
      <c r="C700" s="56" t="str">
        <f>IFERROR(__xludf.DUMMYFUNCTION("""COMPUTED_VALUE"""),"Searching")</f>
        <v>Searching</v>
      </c>
      <c r="D700" s="57" t="str">
        <f>IFERROR(__xludf.DUMMYFUNCTION("""COMPUTED_VALUE"""),"Cannabis")</f>
        <v>Cannabis</v>
      </c>
      <c r="E700" s="58"/>
      <c r="F700" s="59" t="str">
        <f>IFERROR(__xludf.DUMMYFUNCTION("""COMPUTED_VALUE"""),"Jeffrey Bornstein (Fmr Vice Chairman/CFO, GE)")</f>
        <v>Jeffrey Bornstein (Fmr Vice Chairman/CFO, GE)</v>
      </c>
      <c r="G700" s="60">
        <f>IFERROR(__xludf.DUMMYFUNCTION("""COMPUTED_VALUE"""),2.0E8)</f>
        <v>200000000</v>
      </c>
      <c r="H700" s="60">
        <f>IFERROR(__xludf.DUMMYFUNCTION("""COMPUTED_VALUE"""),1.938E8)</f>
        <v>193800000</v>
      </c>
      <c r="I700" s="66">
        <f>IFERROR(__xludf.DUMMYFUNCTION("""COMPUTED_VALUE"""),9.69)</f>
        <v>9.69</v>
      </c>
      <c r="J700" s="62">
        <f>IFERROR(__xludf.DUMMYFUNCTION("""COMPUTED_VALUE"""),0.00207)</f>
        <v>0.00207</v>
      </c>
      <c r="K700" s="59">
        <f>IFERROR(__xludf.DUMMYFUNCTION("""COMPUTED_VALUE"""),10.05)</f>
        <v>10.05</v>
      </c>
      <c r="L700" s="87">
        <f>IFERROR(__xludf.DUMMYFUNCTION("""COMPUTED_VALUE"""),0.8)</f>
        <v>0.8</v>
      </c>
      <c r="M700" s="64" t="str">
        <f>IFERROR(__xludf.DUMMYFUNCTION("""COMPUTED_VALUE"""),"U: [1/2 W]; W: [1:1, $11.5]")</f>
        <v>U: [1/2 W]; W: [1:1, $11.5]</v>
      </c>
      <c r="N700" s="65">
        <f>IFERROR(__xludf.DUMMYFUNCTION("""COMPUTED_VALUE"""),44291.0)</f>
        <v>44291</v>
      </c>
      <c r="O700" s="66">
        <f>IFERROR(__xludf.DUMMYFUNCTION("""COMPUTED_VALUE"""),0.0)</f>
        <v>0</v>
      </c>
      <c r="P700" s="67">
        <f>IFERROR(__xludf.DUMMYFUNCTION("""COMPUTED_VALUE"""),44238.0)</f>
        <v>44238</v>
      </c>
      <c r="Q700" s="68">
        <f>IFERROR(__xludf.DUMMYFUNCTION("""COMPUTED_VALUE"""),200.0)</f>
        <v>200</v>
      </c>
      <c r="R700" s="69" t="str">
        <f>IFERROR(__xludf.DUMMYFUNCTION("""COMPUTED_VALUE"""),"JP Morgan, BMO Capital Markets")</f>
        <v>JP Morgan, BMO Capital Markets</v>
      </c>
      <c r="S700" s="64">
        <f>IFERROR(__xludf.DUMMYFUNCTION("""COMPUTED_VALUE"""),44968.0)</f>
        <v>44968</v>
      </c>
      <c r="T700" s="70">
        <f>IFERROR(__xludf.DUMMYFUNCTION("""COMPUTED_VALUE"""),0.07945205479452055)</f>
        <v>0.07945205479</v>
      </c>
      <c r="U700" s="71" t="str">
        <f>IFERROR(__xludf.DUMMYFUNCTION("""COMPUTED_VALUE"""),"https://www.sec.gov/cgi-bin/browse-edgar?CIK=1801602")</f>
        <v>https://www.sec.gov/cgi-bin/browse-edgar?CIK=1801602</v>
      </c>
      <c r="V700" s="72" t="str">
        <f>IFERROR(__xludf.DUMMYFUNCTION("""COMPUTED_VALUE""")," Trading Below $10 (Common)          Top Tier UW ")</f>
        <v> Trading Below $10 (Common)          Top Tier UW </v>
      </c>
      <c r="W700" s="73"/>
      <c r="X700" s="74"/>
      <c r="Y700" s="75"/>
      <c r="Z700" s="60"/>
      <c r="AA700" s="60"/>
      <c r="AB700" s="60"/>
      <c r="AC700" s="60"/>
      <c r="AD700" s="73"/>
      <c r="AE700" s="73"/>
      <c r="AF700" s="76"/>
      <c r="AG700" s="60" t="str">
        <f>IFERROR(__xludf.DUMMYFUNCTION("""COMPUTED_VALUE"""),"")</f>
        <v/>
      </c>
    </row>
    <row r="701">
      <c r="A701" s="88" t="str">
        <f>IFERROR(__xludf.DUMMYFUNCTION("""COMPUTED_VALUE"""),"TCG")</f>
        <v>TCG</v>
      </c>
      <c r="B701" s="55" t="str">
        <f>IFERROR(__xludf.DUMMYFUNCTION("""COMPUTED_VALUE"""),"TCG Growth Opportunities Corp.")</f>
        <v>TCG Growth Opportunities Corp.</v>
      </c>
      <c r="C701" s="56" t="str">
        <f>IFERROR(__xludf.DUMMYFUNCTION("""COMPUTED_VALUE"""),"Pre IPO")</f>
        <v>Pre IPO</v>
      </c>
      <c r="D701" s="77" t="str">
        <f>IFERROR(__xludf.DUMMYFUNCTION("""COMPUTED_VALUE"""),"Consumer Internet")</f>
        <v>Consumer Internet</v>
      </c>
      <c r="E701" s="58"/>
      <c r="F701" s="59" t="str">
        <f>IFERROR(__xludf.DUMMYFUNCTION("""COMPUTED_VALUE"""),"Peter Chernin (Former COO, News Corp; Former CEO of Fox Group; Director, American Express), Erika Nardini (CEO, Barstool Sports)")</f>
        <v>Peter Chernin (Former COO, News Corp; Former CEO of Fox Group; Director, American Express), Erika Nardini (CEO, Barstool Sports)</v>
      </c>
      <c r="G701" s="60">
        <f>IFERROR(__xludf.DUMMYFUNCTION("""COMPUTED_VALUE"""),2.5E8)</f>
        <v>250000000</v>
      </c>
      <c r="H701" s="60" t="str">
        <f>IFERROR(__xludf.DUMMYFUNCTION("""COMPUTED_VALUE""")," ")</f>
        <v> </v>
      </c>
      <c r="I701" s="66" t="str">
        <f>IFERROR(__xludf.DUMMYFUNCTION("""COMPUTED_VALUE""")," ")</f>
        <v> </v>
      </c>
      <c r="J701" s="62" t="str">
        <f>IFERROR(__xludf.DUMMYFUNCTION("""COMPUTED_VALUE""")," ")</f>
        <v> </v>
      </c>
      <c r="K701" s="59" t="str">
        <f>IFERROR(__xludf.DUMMYFUNCTION("""COMPUTED_VALUE""")," ")</f>
        <v> </v>
      </c>
      <c r="L701" s="87" t="str">
        <f>IFERROR(__xludf.DUMMYFUNCTION("""COMPUTED_VALUE""")," ")</f>
        <v> </v>
      </c>
      <c r="M701" s="64" t="str">
        <f>IFERROR(__xludf.DUMMYFUNCTION("""COMPUTED_VALUE"""),"U: [1/4 W]; W: [1:1, $11.5]")</f>
        <v>U: [1/4 W]; W: [1:1, $11.5]</v>
      </c>
      <c r="N701" s="65" t="str">
        <f>IFERROR(__xludf.DUMMYFUNCTION("""COMPUTED_VALUE"""),"")</f>
        <v/>
      </c>
      <c r="O701" s="66">
        <f>IFERROR(__xludf.DUMMYFUNCTION("""COMPUTED_VALUE"""),0.0)</f>
        <v>0</v>
      </c>
      <c r="P701" s="67"/>
      <c r="Q701" s="68">
        <f>IFERROR(__xludf.DUMMYFUNCTION("""COMPUTED_VALUE"""),250.0)</f>
        <v>250</v>
      </c>
      <c r="R701" s="69" t="str">
        <f>IFERROR(__xludf.DUMMYFUNCTION("""COMPUTED_VALUE"""),"Goldman Sachs &amp; Co. LLC, Morgan Stanley")</f>
        <v>Goldman Sachs &amp; Co. LLC, Morgan Stanley</v>
      </c>
      <c r="S701" s="64">
        <f>IFERROR(__xludf.DUMMYFUNCTION("""COMPUTED_VALUE"""),45086.0)</f>
        <v>45086</v>
      </c>
      <c r="T701" s="70" t="str">
        <f>IFERROR(__xludf.DUMMYFUNCTION("""COMPUTED_VALUE"""),"")</f>
        <v/>
      </c>
      <c r="U701" s="71" t="str">
        <f>IFERROR(__xludf.DUMMYFUNCTION("""COMPUTED_VALUE"""),"https://www.sec.gov/cgi-bin/browse-edgar?CIK=1844537")</f>
        <v>https://www.sec.gov/cgi-bin/browse-edgar?CIK=1844537</v>
      </c>
      <c r="V701" s="72" t="str">
        <f>IFERROR(__xludf.DUMMYFUNCTION("""COMPUTED_VALUE"""),"         Well-known Sponsor  Top Tier UW ")</f>
        <v>         Well-known Sponsor  Top Tier UW </v>
      </c>
      <c r="W701" s="73"/>
      <c r="X701" s="74"/>
      <c r="Y701" s="75"/>
      <c r="Z701" s="60"/>
      <c r="AA701" s="60"/>
      <c r="AB701" s="60"/>
      <c r="AC701" s="60"/>
      <c r="AD701" s="73"/>
      <c r="AE701" s="73"/>
      <c r="AF701" s="76"/>
      <c r="AG701" s="60"/>
    </row>
    <row r="702">
      <c r="A702" s="88" t="str">
        <f>IFERROR(__xludf.DUMMYFUNCTION("""COMPUTED_VALUE"""),"TCOA")</f>
        <v>TCOA</v>
      </c>
      <c r="B702" s="55" t="str">
        <f>IFERROR(__xludf.DUMMYFUNCTION("""COMPUTED_VALUE"""),"Trajectory Alpha Acquisition Corp.")</f>
        <v>Trajectory Alpha Acquisition Corp.</v>
      </c>
      <c r="C702" s="56" t="str">
        <f>IFERROR(__xludf.DUMMYFUNCTION("""COMPUTED_VALUE"""),"Pre IPO")</f>
        <v>Pre IPO</v>
      </c>
      <c r="D702" s="57" t="str">
        <f>IFERROR(__xludf.DUMMYFUNCTION("""COMPUTED_VALUE"""),"Tech ")</f>
        <v>Tech </v>
      </c>
      <c r="E702" s="58"/>
      <c r="F702" s="59" t="str">
        <f>IFERROR(__xludf.DUMMYFUNCTION("""COMPUTED_VALUE"""),"Peter Bordes (Fmr CEO, Kubient)")</f>
        <v>Peter Bordes (Fmr CEO, Kubient)</v>
      </c>
      <c r="G702" s="60">
        <f>IFERROR(__xludf.DUMMYFUNCTION("""COMPUTED_VALUE"""),1.5E8)</f>
        <v>150000000</v>
      </c>
      <c r="H702" s="60" t="str">
        <f>IFERROR(__xludf.DUMMYFUNCTION("""COMPUTED_VALUE""")," ")</f>
        <v> </v>
      </c>
      <c r="I702" s="66" t="str">
        <f>IFERROR(__xludf.DUMMYFUNCTION("""COMPUTED_VALUE""")," ")</f>
        <v> </v>
      </c>
      <c r="J702" s="62" t="str">
        <f>IFERROR(__xludf.DUMMYFUNCTION("""COMPUTED_VALUE""")," ")</f>
        <v> </v>
      </c>
      <c r="K702" s="59" t="str">
        <f>IFERROR(__xludf.DUMMYFUNCTION("""COMPUTED_VALUE""")," ")</f>
        <v> </v>
      </c>
      <c r="L702" s="87" t="str">
        <f>IFERROR(__xludf.DUMMYFUNCTION("""COMPUTED_VALUE""")," ")</f>
        <v> </v>
      </c>
      <c r="M702" s="64" t="str">
        <f>IFERROR(__xludf.DUMMYFUNCTION("""COMPUTED_VALUE"""),"U: [1/3 W]; W: [1:1, $11.5]")</f>
        <v>U: [1/3 W]; W: [1:1, $11.5]</v>
      </c>
      <c r="N702" s="65" t="str">
        <f>IFERROR(__xludf.DUMMYFUNCTION("""COMPUTED_VALUE"""),"")</f>
        <v/>
      </c>
      <c r="O702" s="66">
        <f>IFERROR(__xludf.DUMMYFUNCTION("""COMPUTED_VALUE"""),0.0)</f>
        <v>0</v>
      </c>
      <c r="P702" s="67"/>
      <c r="Q702" s="68">
        <f>IFERROR(__xludf.DUMMYFUNCTION("""COMPUTED_VALUE"""),150.0)</f>
        <v>150</v>
      </c>
      <c r="R702" s="69" t="str">
        <f>IFERROR(__xludf.DUMMYFUNCTION("""COMPUTED_VALUE"""),"Guggenheim Securities")</f>
        <v>Guggenheim Securities</v>
      </c>
      <c r="S702" s="64">
        <f>IFERROR(__xludf.DUMMYFUNCTION("""COMPUTED_VALUE"""),45086.0)</f>
        <v>45086</v>
      </c>
      <c r="T702" s="70" t="str">
        <f>IFERROR(__xludf.DUMMYFUNCTION("""COMPUTED_VALUE"""),"")</f>
        <v/>
      </c>
      <c r="U702" s="71" t="str">
        <f>IFERROR(__xludf.DUMMYFUNCTION("""COMPUTED_VALUE"""),"https://www.sec.gov/cgi-bin/browse-edgar?CIK=1846750")</f>
        <v>https://www.sec.gov/cgi-bin/browse-edgar?CIK=1846750</v>
      </c>
      <c r="V702" s="72" t="str">
        <f>IFERROR(__xludf.DUMMYFUNCTION("""COMPUTED_VALUE"""),"            ")</f>
        <v>            </v>
      </c>
      <c r="W702" s="73"/>
      <c r="X702" s="74"/>
      <c r="Y702" s="75"/>
      <c r="Z702" s="60"/>
      <c r="AA702" s="60"/>
      <c r="AB702" s="60"/>
      <c r="AC702" s="60"/>
      <c r="AD702" s="73"/>
      <c r="AE702" s="73"/>
      <c r="AF702" s="76"/>
      <c r="AG702" s="60"/>
    </row>
    <row r="703">
      <c r="A703" s="88" t="str">
        <f>IFERROR(__xludf.DUMMYFUNCTION("""COMPUTED_VALUE"""),"TCPG")</f>
        <v>TCPG</v>
      </c>
      <c r="B703" s="55" t="str">
        <f>IFERROR(__xludf.DUMMYFUNCTION("""COMPUTED_VALUE"""),"Transformational CPG Acquisition Corp.")</f>
        <v>Transformational CPG Acquisition Corp.</v>
      </c>
      <c r="C703" s="56" t="str">
        <f>IFERROR(__xludf.DUMMYFUNCTION("""COMPUTED_VALUE"""),"Pre IPO")</f>
        <v>Pre IPO</v>
      </c>
      <c r="D703" s="57"/>
      <c r="E703" s="58"/>
      <c r="F703" s="59"/>
      <c r="G703" s="60">
        <f>IFERROR(__xludf.DUMMYFUNCTION("""COMPUTED_VALUE"""),3.0E8)</f>
        <v>300000000</v>
      </c>
      <c r="H703" s="60" t="str">
        <f>IFERROR(__xludf.DUMMYFUNCTION("""COMPUTED_VALUE""")," ")</f>
        <v> </v>
      </c>
      <c r="I703" s="66" t="str">
        <f>IFERROR(__xludf.DUMMYFUNCTION("""COMPUTED_VALUE""")," ")</f>
        <v> </v>
      </c>
      <c r="J703" s="62" t="str">
        <f>IFERROR(__xludf.DUMMYFUNCTION("""COMPUTED_VALUE""")," ")</f>
        <v> </v>
      </c>
      <c r="K703" s="59" t="str">
        <f>IFERROR(__xludf.DUMMYFUNCTION("""COMPUTED_VALUE""")," ")</f>
        <v> </v>
      </c>
      <c r="L703" s="87" t="str">
        <f>IFERROR(__xludf.DUMMYFUNCTION("""COMPUTED_VALUE""")," ")</f>
        <v> </v>
      </c>
      <c r="M703" s="64" t="str">
        <f>IFERROR(__xludf.DUMMYFUNCTION("""COMPUTED_VALUE"""),"U: [1/3 W]; W: [1:1, $11.5]")</f>
        <v>U: [1/3 W]; W: [1:1, $11.5]</v>
      </c>
      <c r="N703" s="65" t="str">
        <f>IFERROR(__xludf.DUMMYFUNCTION("""COMPUTED_VALUE"""),"")</f>
        <v/>
      </c>
      <c r="O703" s="66">
        <f>IFERROR(__xludf.DUMMYFUNCTION("""COMPUTED_VALUE"""),0.0)</f>
        <v>0</v>
      </c>
      <c r="P703" s="67"/>
      <c r="Q703" s="68">
        <f>IFERROR(__xludf.DUMMYFUNCTION("""COMPUTED_VALUE"""),300.0)</f>
        <v>300</v>
      </c>
      <c r="R703" s="69" t="str">
        <f>IFERROR(__xludf.DUMMYFUNCTION("""COMPUTED_VALUE"""),"J.P. Morgan, BofA Securities, Nomura")</f>
        <v>J.P. Morgan, BofA Securities, Nomura</v>
      </c>
      <c r="S703" s="64">
        <f>IFERROR(__xludf.DUMMYFUNCTION("""COMPUTED_VALUE"""),45086.0)</f>
        <v>45086</v>
      </c>
      <c r="T703" s="70" t="str">
        <f>IFERROR(__xludf.DUMMYFUNCTION("""COMPUTED_VALUE"""),"")</f>
        <v/>
      </c>
      <c r="U703" s="71" t="str">
        <f>IFERROR(__xludf.DUMMYFUNCTION("""COMPUTED_VALUE"""),"https://www.sec.gov/cgi-bin/browse-edgar?CIK=1842311")</f>
        <v>https://www.sec.gov/cgi-bin/browse-edgar?CIK=1842311</v>
      </c>
      <c r="V703" s="72" t="str">
        <f>IFERROR(__xludf.DUMMYFUNCTION("""COMPUTED_VALUE"""),"           Top Tier UW ")</f>
        <v>           Top Tier UW </v>
      </c>
      <c r="W703" s="73"/>
      <c r="X703" s="74"/>
      <c r="Y703" s="75"/>
      <c r="Z703" s="60"/>
      <c r="AA703" s="60"/>
      <c r="AB703" s="60"/>
      <c r="AC703" s="60"/>
      <c r="AD703" s="73"/>
      <c r="AE703" s="73"/>
      <c r="AF703" s="76"/>
      <c r="AG703" s="60"/>
    </row>
    <row r="704">
      <c r="A704" s="88" t="str">
        <f>IFERROR(__xludf.DUMMYFUNCTION("""COMPUTED_VALUE"""),"TCVA")</f>
        <v>TCVA</v>
      </c>
      <c r="B704" s="55" t="str">
        <f>IFERROR(__xludf.DUMMYFUNCTION("""COMPUTED_VALUE"""),"TCV Acquisition Corp.")</f>
        <v>TCV Acquisition Corp.</v>
      </c>
      <c r="C704" s="56" t="str">
        <f>IFERROR(__xludf.DUMMYFUNCTION("""COMPUTED_VALUE"""),"Pre IPO")</f>
        <v>Pre IPO</v>
      </c>
      <c r="D704" s="77" t="str">
        <f>IFERROR(__xludf.DUMMYFUNCTION("""COMPUTED_VALUE"""),"Tech: Software, Internet, and Fintech")</f>
        <v>Tech: Software, Internet, and Fintech</v>
      </c>
      <c r="E704" s="58"/>
      <c r="F704" s="59" t="str">
        <f>IFERROR(__xludf.DUMMYFUNCTION("""COMPUTED_VALUE"""),"Jay Hoag (Founding General Partner of TCV, Director of Electronic Arts, Netflix, Peloton, TripAdvisor, &amp; Zillow), Woody Marshall (General Partner of TCV and Director of GoFundMe, Newsela, Payoneer, Retail Merchant Services, Sojern, Spotify, and Nerdy), Ka"&amp;"tie Mitic (Co-founder &amp; Co-CEO of SomethingElse, and Co-founder &amp; Former CEO of Sitch), Tayloe Stansbury (CEO of Kaleidescape and Former CTO of Intuit)")</f>
        <v>Jay Hoag (Founding General Partner of TCV, Director of Electronic Arts, Netflix, Peloton, TripAdvisor, &amp; Zillow), Woody Marshall (General Partner of TCV and Director of GoFundMe, Newsela, Payoneer, Retail Merchant Services, Sojern, Spotify, and Nerdy), Katie Mitic (Co-founder &amp; Co-CEO of SomethingElse, and Co-founder &amp; Former CEO of Sitch), Tayloe Stansbury (CEO of Kaleidescape and Former CTO of Intuit)</v>
      </c>
      <c r="G704" s="60">
        <f>IFERROR(__xludf.DUMMYFUNCTION("""COMPUTED_VALUE"""),3.5E8)</f>
        <v>350000000</v>
      </c>
      <c r="H704" s="60" t="str">
        <f>IFERROR(__xludf.DUMMYFUNCTION("""COMPUTED_VALUE""")," ")</f>
        <v> </v>
      </c>
      <c r="I704" s="66" t="str">
        <f>IFERROR(__xludf.DUMMYFUNCTION("""COMPUTED_VALUE""")," ")</f>
        <v> </v>
      </c>
      <c r="J704" s="62" t="str">
        <f>IFERROR(__xludf.DUMMYFUNCTION("""COMPUTED_VALUE""")," ")</f>
        <v> </v>
      </c>
      <c r="K704" s="59" t="str">
        <f>IFERROR(__xludf.DUMMYFUNCTION("""COMPUTED_VALUE""")," ")</f>
        <v> </v>
      </c>
      <c r="L704" s="87" t="str">
        <f>IFERROR(__xludf.DUMMYFUNCTION("""COMPUTED_VALUE""")," ")</f>
        <v> </v>
      </c>
      <c r="M704" s="64" t="str">
        <f>IFERROR(__xludf.DUMMYFUNCTION("""COMPUTED_VALUE"""),"U: [No Units]; W: [No Warrants]")</f>
        <v>U: [No Units]; W: [No Warrants]</v>
      </c>
      <c r="N704" s="65" t="str">
        <f>IFERROR(__xludf.DUMMYFUNCTION("""COMPUTED_VALUE"""),"")</f>
        <v/>
      </c>
      <c r="O704" s="66">
        <f>IFERROR(__xludf.DUMMYFUNCTION("""COMPUTED_VALUE"""),0.0)</f>
        <v>0</v>
      </c>
      <c r="P704" s="67"/>
      <c r="Q704" s="68">
        <f>IFERROR(__xludf.DUMMYFUNCTION("""COMPUTED_VALUE"""),350.0)</f>
        <v>350</v>
      </c>
      <c r="R704" s="69" t="str">
        <f>IFERROR(__xludf.DUMMYFUNCTION("""COMPUTED_VALUE"""),"Citigroup, Goldman Sachs &amp; Co. LLC, Morgan Stanley")</f>
        <v>Citigroup, Goldman Sachs &amp; Co. LLC, Morgan Stanley</v>
      </c>
      <c r="S704" s="64">
        <f>IFERROR(__xludf.DUMMYFUNCTION("""COMPUTED_VALUE"""),45086.0)</f>
        <v>45086</v>
      </c>
      <c r="T704" s="70" t="str">
        <f>IFERROR(__xludf.DUMMYFUNCTION("""COMPUTED_VALUE"""),"")</f>
        <v/>
      </c>
      <c r="U704" s="71" t="str">
        <f>IFERROR(__xludf.DUMMYFUNCTION("""COMPUTED_VALUE"""),"https://www.sec.gov/cgi-bin/browse-edgar?CIK=1845580")</f>
        <v>https://www.sec.gov/cgi-bin/browse-edgar?CIK=1845580</v>
      </c>
      <c r="V704" s="72" t="str">
        <f>IFERROR(__xludf.DUMMYFUNCTION("""COMPUTED_VALUE"""),"         Well-known Sponsor  Top Tier UW ")</f>
        <v>         Well-known Sponsor  Top Tier UW </v>
      </c>
      <c r="W704" s="73"/>
      <c r="X704" s="74"/>
      <c r="Y704" s="75"/>
      <c r="Z704" s="60"/>
      <c r="AA704" s="60"/>
      <c r="AB704" s="60"/>
      <c r="AC704" s="60"/>
      <c r="AD704" s="73"/>
      <c r="AE704" s="73"/>
      <c r="AF704" s="76"/>
      <c r="AG704" s="60"/>
    </row>
    <row r="705">
      <c r="A705" s="54" t="str">
        <f>IFERROR(__xludf.DUMMYFUNCTION("""COMPUTED_VALUE"""),"TDAC")</f>
        <v>TDAC</v>
      </c>
      <c r="B705" s="55" t="str">
        <f>IFERROR(__xludf.DUMMYFUNCTION("""COMPUTED_VALUE"""),"Trident Acquisitions Corp")</f>
        <v>Trident Acquisitions Corp</v>
      </c>
      <c r="C705" s="56" t="str">
        <f>IFERROR(__xludf.DUMMYFUNCTION("""COMPUTED_VALUE"""),"Definitive Agreement")</f>
        <v>Definitive Agreement</v>
      </c>
      <c r="D705" s="57" t="str">
        <f>IFERROR(__xludf.DUMMYFUNCTION("""COMPUTED_VALUE"""),"Oil and Gas, Natural Resources, Europe")</f>
        <v>Oil and Gas, Natural Resources, Europe</v>
      </c>
      <c r="E705" s="58" t="str">
        <f>IFERROR(__xludf.DUMMYFUNCTION("""COMPUTED_VALUE"""),"Lottery.com [DA: 02/22/21]")</f>
        <v>Lottery.com [DA: 02/22/21]</v>
      </c>
      <c r="F705" s="59"/>
      <c r="G705" s="60">
        <f>IFERROR(__xludf.DUMMYFUNCTION("""COMPUTED_VALUE"""),6.9102447E7)</f>
        <v>69102447</v>
      </c>
      <c r="H705" s="60">
        <f>IFERROR(__xludf.DUMMYFUNCTION("""COMPUTED_VALUE"""),1.58931322E8)</f>
        <v>158931322</v>
      </c>
      <c r="I705" s="66">
        <f>IFERROR(__xludf.DUMMYFUNCTION("""COMPUTED_VALUE"""),13.28)</f>
        <v>13.28</v>
      </c>
      <c r="J705" s="62">
        <f>IFERROR(__xludf.DUMMYFUNCTION("""COMPUTED_VALUE"""),0.02469)</f>
        <v>0.02469</v>
      </c>
      <c r="K705" s="59">
        <f>IFERROR(__xludf.DUMMYFUNCTION("""COMPUTED_VALUE"""),15.55)</f>
        <v>15.55</v>
      </c>
      <c r="L705" s="87">
        <f>IFERROR(__xludf.DUMMYFUNCTION("""COMPUTED_VALUE"""),2.65)</f>
        <v>2.65</v>
      </c>
      <c r="M705" s="64" t="str">
        <f>IFERROR(__xludf.DUMMYFUNCTION("""COMPUTED_VALUE"""),"U: [1 W]; W: [1:1, $11.5]")</f>
        <v>U: [1 W]; W: [1:1, $11.5]</v>
      </c>
      <c r="N705" s="65" t="str">
        <f>IFERROR(__xludf.DUMMYFUNCTION("""COMPUTED_VALUE"""),"")</f>
        <v/>
      </c>
      <c r="O705" s="66">
        <f>IFERROR(__xludf.DUMMYFUNCTION("""COMPUTED_VALUE"""),1.7799999999999994)</f>
        <v>1.78</v>
      </c>
      <c r="P705" s="67">
        <f>IFERROR(__xludf.DUMMYFUNCTION("""COMPUTED_VALUE"""),43249.0)</f>
        <v>43249</v>
      </c>
      <c r="Q705" s="68">
        <f>IFERROR(__xludf.DUMMYFUNCTION("""COMPUTED_VALUE"""),201.25)</f>
        <v>201.25</v>
      </c>
      <c r="R705" s="69" t="str">
        <f>IFERROR(__xludf.DUMMYFUNCTION("""COMPUTED_VALUE"""),"Chardan, I-Bankers")</f>
        <v>Chardan, I-Bankers</v>
      </c>
      <c r="S705" s="64">
        <f>IFERROR(__xludf.DUMMYFUNCTION("""COMPUTED_VALUE"""),44348.0)</f>
        <v>44348</v>
      </c>
      <c r="T705" s="70">
        <f>IFERROR(__xludf.DUMMYFUNCTION("""COMPUTED_VALUE"""),0.9526842584167425)</f>
        <v>0.9526842584</v>
      </c>
      <c r="U705" s="71" t="str">
        <f>IFERROR(__xludf.DUMMYFUNCTION("""COMPUTED_VALUE"""),"https://www.sec.gov/cgi-bin/browse-edgar?CIK=1673481")</f>
        <v>https://www.sec.gov/cgi-bin/browse-edgar?CIK=1673481</v>
      </c>
      <c r="V705" s="72" t="str">
        <f>IFERROR(__xludf.DUMMYFUNCTION("""COMPUTED_VALUE"""),"      Deadline Approaching      ")</f>
        <v>      Deadline Approaching      </v>
      </c>
      <c r="W705" s="73">
        <f>IFERROR(__xludf.DUMMYFUNCTION("""COMPUTED_VALUE"""),44249.0)</f>
        <v>44249</v>
      </c>
      <c r="X705" s="79">
        <f>IFERROR(__xludf.DUMMYFUNCTION("""COMPUTED_VALUE"""),33.333333333333336)</f>
        <v>33.33333333</v>
      </c>
      <c r="Y705" s="80" t="str">
        <f>IFERROR(__xludf.DUMMYFUNCTION("""COMPUTED_VALUE"""),"http://www.globenewswire.com/news-release/2021/02/22/2179513/0/en/Lottery-com-a-Leading-Platform-to-Play-the-Lottery-Online-Enters-into-Definitive-Agreement-with-Trident-Acquisitions-Corp-to-Become-Publicly-Traded.html")</f>
        <v>http://www.globenewswire.com/news-release/2021/02/22/2179513/0/en/Lottery-com-a-Leading-Platform-to-Play-the-Lottery-Online-Enters-into-Definitive-Agreement-with-Trident-Acquisitions-Corp-to-Become-Publicly-Traded.html</v>
      </c>
      <c r="Z705" s="81" t="str">
        <f>IFERROR(__xludf.DUMMYFUNCTION("""COMPUTED_VALUE"""),"https://www.sec.gov/Archives/edgar/data/1673481/000121390021016773/ea137909ex99-1_trident.htm")</f>
        <v>https://www.sec.gov/Archives/edgar/data/1673481/000121390021016773/ea137909ex99-1_trident.htm</v>
      </c>
      <c r="AA705" s="60"/>
      <c r="AB705" s="60">
        <f>IFERROR(__xludf.DUMMYFUNCTION("""COMPUTED_VALUE"""),5.63E8)</f>
        <v>563000000</v>
      </c>
      <c r="AC705" s="60">
        <f>IFERROR(__xludf.DUMMYFUNCTION("""COMPUTED_VALUE"""),5.26E8)</f>
        <v>526000000</v>
      </c>
      <c r="AD705" s="73"/>
      <c r="AE705" s="73"/>
      <c r="AF705" s="76">
        <f>IFERROR(__xludf.DUMMYFUNCTION("""COMPUTED_VALUE"""),5.63E7)</f>
        <v>56300000</v>
      </c>
      <c r="AG705" s="60">
        <f>IFERROR(__xludf.DUMMYFUNCTION("""COMPUTED_VALUE"""),7.47664E8)</f>
        <v>747664000</v>
      </c>
    </row>
    <row r="706">
      <c r="A706" s="88" t="str">
        <f>IFERROR(__xludf.DUMMYFUNCTION("""COMPUTED_VALUE"""),"TEGA")</f>
        <v>TEGA</v>
      </c>
      <c r="B706" s="55" t="str">
        <f>IFERROR(__xludf.DUMMYFUNCTION("""COMPUTED_VALUE"""),"Think Elevation Capital Growth Opportunities")</f>
        <v>Think Elevation Capital Growth Opportunities</v>
      </c>
      <c r="C706" s="56" t="str">
        <f>IFERROR(__xludf.DUMMYFUNCTION("""COMPUTED_VALUE"""),"Pre IPO")</f>
        <v>Pre IPO</v>
      </c>
      <c r="D706" s="77" t="str">
        <f>IFERROR(__xludf.DUMMYFUNCTION("""COMPUTED_VALUE"""),"Tech in India")</f>
        <v>Tech in India</v>
      </c>
      <c r="E706" s="58"/>
      <c r="F706" s="59" t="str">
        <f>IFERROR(__xludf.DUMMYFUNCTION("""COMPUTED_VALUE"""),"Ravi Adusumalli (Founder/MP, Elevation Capital)")</f>
        <v>Ravi Adusumalli (Founder/MP, Elevation Capital)</v>
      </c>
      <c r="G706" s="60">
        <f>IFERROR(__xludf.DUMMYFUNCTION("""COMPUTED_VALUE"""),2.25E8)</f>
        <v>225000000</v>
      </c>
      <c r="H706" s="60" t="str">
        <f>IFERROR(__xludf.DUMMYFUNCTION("""COMPUTED_VALUE""")," ")</f>
        <v> </v>
      </c>
      <c r="I706" s="66" t="str">
        <f>IFERROR(__xludf.DUMMYFUNCTION("""COMPUTED_VALUE""")," ")</f>
        <v> </v>
      </c>
      <c r="J706" s="62" t="str">
        <f>IFERROR(__xludf.DUMMYFUNCTION("""COMPUTED_VALUE""")," ")</f>
        <v> </v>
      </c>
      <c r="K706" s="59" t="str">
        <f>IFERROR(__xludf.DUMMYFUNCTION("""COMPUTED_VALUE""")," ")</f>
        <v> </v>
      </c>
      <c r="L706" s="87" t="str">
        <f>IFERROR(__xludf.DUMMYFUNCTION("""COMPUTED_VALUE""")," ")</f>
        <v> </v>
      </c>
      <c r="M706" s="64" t="str">
        <f>IFERROR(__xludf.DUMMYFUNCTION("""COMPUTED_VALUE"""),"U: [1/4 W]; W: [1:1, $11.5]")</f>
        <v>U: [1/4 W]; W: [1:1, $11.5]</v>
      </c>
      <c r="N706" s="65" t="str">
        <f>IFERROR(__xludf.DUMMYFUNCTION("""COMPUTED_VALUE"""),"")</f>
        <v/>
      </c>
      <c r="O706" s="66">
        <f>IFERROR(__xludf.DUMMYFUNCTION("""COMPUTED_VALUE"""),0.0)</f>
        <v>0</v>
      </c>
      <c r="P706" s="67"/>
      <c r="Q706" s="68">
        <f>IFERROR(__xludf.DUMMYFUNCTION("""COMPUTED_VALUE"""),225.0)</f>
        <v>225</v>
      </c>
      <c r="R706" s="69" t="str">
        <f>IFERROR(__xludf.DUMMYFUNCTION("""COMPUTED_VALUE"""),"Morgan Stanley")</f>
        <v>Morgan Stanley</v>
      </c>
      <c r="S706" s="64">
        <f>IFERROR(__xludf.DUMMYFUNCTION("""COMPUTED_VALUE"""),45086.0)</f>
        <v>45086</v>
      </c>
      <c r="T706" s="70" t="str">
        <f>IFERROR(__xludf.DUMMYFUNCTION("""COMPUTED_VALUE"""),"")</f>
        <v/>
      </c>
      <c r="U706" s="71" t="str">
        <f>IFERROR(__xludf.DUMMYFUNCTION("""COMPUTED_VALUE"""),"https://www.sec.gov/cgi-bin/browse-edgar?CIK=1850239")</f>
        <v>https://www.sec.gov/cgi-bin/browse-edgar?CIK=1850239</v>
      </c>
      <c r="V706" s="72" t="str">
        <f>IFERROR(__xludf.DUMMYFUNCTION("""COMPUTED_VALUE"""),"           Top Tier UW ")</f>
        <v>           Top Tier UW </v>
      </c>
      <c r="W706" s="73"/>
      <c r="X706" s="74"/>
      <c r="Y706" s="75"/>
      <c r="Z706" s="60"/>
      <c r="AA706" s="60"/>
      <c r="AB706" s="60"/>
      <c r="AC706" s="60"/>
      <c r="AD706" s="73"/>
      <c r="AE706" s="73"/>
      <c r="AF706" s="76"/>
      <c r="AG706" s="60"/>
    </row>
    <row r="707">
      <c r="A707" s="88" t="str">
        <f>IFERROR(__xludf.DUMMYFUNCTION("""COMPUTED_VALUE"""),"TEKC")</f>
        <v>TEKC</v>
      </c>
      <c r="B707" s="55" t="str">
        <f>IFERROR(__xludf.DUMMYFUNCTION("""COMPUTED_VALUE"""),"Tekkorp Digital Acquisition Corp. II")</f>
        <v>Tekkorp Digital Acquisition Corp. II</v>
      </c>
      <c r="C707" s="56" t="str">
        <f>IFERROR(__xludf.DUMMYFUNCTION("""COMPUTED_VALUE"""),"Pre IPO")</f>
        <v>Pre IPO</v>
      </c>
      <c r="D707" s="57" t="str">
        <f>IFERROR(__xludf.DUMMYFUNCTION("""COMPUTED_VALUE"""),"Digital media, sports, entertainment, leisure, gaming")</f>
        <v>Digital media, sports, entertainment, leisure, gaming</v>
      </c>
      <c r="E707" s="58"/>
      <c r="F707" s="59" t="str">
        <f>IFERROR(__xludf.DUMMYFUNCTION("""COMPUTED_VALUE"""),"Matthew Davey (Fmr CEO, SG Digital), Tony Rodio (Fmr CEO, Caesars Entertainment)")</f>
        <v>Matthew Davey (Fmr CEO, SG Digital), Tony Rodio (Fmr CEO, Caesars Entertainment)</v>
      </c>
      <c r="G707" s="60">
        <f>IFERROR(__xludf.DUMMYFUNCTION("""COMPUTED_VALUE"""),1.5E8)</f>
        <v>150000000</v>
      </c>
      <c r="H707" s="60" t="str">
        <f>IFERROR(__xludf.DUMMYFUNCTION("""COMPUTED_VALUE""")," ")</f>
        <v> </v>
      </c>
      <c r="I707" s="66" t="str">
        <f>IFERROR(__xludf.DUMMYFUNCTION("""COMPUTED_VALUE""")," ")</f>
        <v> </v>
      </c>
      <c r="J707" s="62" t="str">
        <f>IFERROR(__xludf.DUMMYFUNCTION("""COMPUTED_VALUE""")," ")</f>
        <v> </v>
      </c>
      <c r="K707" s="59" t="str">
        <f>IFERROR(__xludf.DUMMYFUNCTION("""COMPUTED_VALUE""")," ")</f>
        <v> </v>
      </c>
      <c r="L707" s="87" t="str">
        <f>IFERROR(__xludf.DUMMYFUNCTION("""COMPUTED_VALUE""")," ")</f>
        <v> </v>
      </c>
      <c r="M707" s="64" t="str">
        <f>IFERROR(__xludf.DUMMYFUNCTION("""COMPUTED_VALUE"""),"U: [1/3 W]; W: [1:1, $11.5]")</f>
        <v>U: [1/3 W]; W: [1:1, $11.5]</v>
      </c>
      <c r="N707" s="65" t="str">
        <f>IFERROR(__xludf.DUMMYFUNCTION("""COMPUTED_VALUE"""),"")</f>
        <v/>
      </c>
      <c r="O707" s="66">
        <f>IFERROR(__xludf.DUMMYFUNCTION("""COMPUTED_VALUE"""),0.0)</f>
        <v>0</v>
      </c>
      <c r="P707" s="67"/>
      <c r="Q707" s="68">
        <f>IFERROR(__xludf.DUMMYFUNCTION("""COMPUTED_VALUE"""),150.0)</f>
        <v>150</v>
      </c>
      <c r="R707" s="69" t="str">
        <f>IFERROR(__xludf.DUMMYFUNCTION("""COMPUTED_VALUE"""),"Jefferies, Macquarie Capital")</f>
        <v>Jefferies, Macquarie Capital</v>
      </c>
      <c r="S707" s="64">
        <f>IFERROR(__xludf.DUMMYFUNCTION("""COMPUTED_VALUE"""),45086.0)</f>
        <v>45086</v>
      </c>
      <c r="T707" s="70" t="str">
        <f>IFERROR(__xludf.DUMMYFUNCTION("""COMPUTED_VALUE"""),"")</f>
        <v/>
      </c>
      <c r="U707" s="71" t="str">
        <f>IFERROR(__xludf.DUMMYFUNCTION("""COMPUTED_VALUE"""),"https://www.sec.gov/cgi-bin/browse-edgar?CIK=1847419")</f>
        <v>https://www.sec.gov/cgi-bin/browse-edgar?CIK=1847419</v>
      </c>
      <c r="V707" s="72" t="str">
        <f>IFERROR(__xludf.DUMMYFUNCTION("""COMPUTED_VALUE"""),"            ")</f>
        <v>            </v>
      </c>
      <c r="W707" s="73"/>
      <c r="X707" s="74"/>
      <c r="Y707" s="75"/>
      <c r="Z707" s="60"/>
      <c r="AA707" s="60"/>
      <c r="AB707" s="60"/>
      <c r="AC707" s="60"/>
      <c r="AD707" s="73"/>
      <c r="AE707" s="73"/>
      <c r="AF707" s="76"/>
      <c r="AG707" s="60"/>
    </row>
    <row r="708">
      <c r="A708" s="54" t="str">
        <f>IFERROR(__xludf.DUMMYFUNCTION("""COMPUTED_VALUE"""),"TEKK")</f>
        <v>TEKK</v>
      </c>
      <c r="B708" s="55" t="str">
        <f>IFERROR(__xludf.DUMMYFUNCTION("""COMPUTED_VALUE"""),"Tekkorp Digital Acquisition Corp")</f>
        <v>Tekkorp Digital Acquisition Corp</v>
      </c>
      <c r="C708" s="56" t="str">
        <f>IFERROR(__xludf.DUMMYFUNCTION("""COMPUTED_VALUE"""),"Searching")</f>
        <v>Searching</v>
      </c>
      <c r="D708" s="57" t="str">
        <f>IFERROR(__xludf.DUMMYFUNCTION("""COMPUTED_VALUE"""),"Digital media, sports, entertainment, leisure, gaming")</f>
        <v>Digital media, sports, entertainment, leisure, gaming</v>
      </c>
      <c r="E708" s="58"/>
      <c r="F708" s="59" t="str">
        <f>IFERROR(__xludf.DUMMYFUNCTION("""COMPUTED_VALUE"""),"Matthew Davey (Fmr CEO, SG Digital), Tony Rodio (Fmr CEO, Caesars Entertainment)")</f>
        <v>Matthew Davey (Fmr CEO, SG Digital), Tony Rodio (Fmr CEO, Caesars Entertainment)</v>
      </c>
      <c r="G708" s="60">
        <f>IFERROR(__xludf.DUMMYFUNCTION("""COMPUTED_VALUE"""),2.5E8)</f>
        <v>250000000</v>
      </c>
      <c r="H708" s="60">
        <f>IFERROR(__xludf.DUMMYFUNCTION("""COMPUTED_VALUE"""),2.5125E8)</f>
        <v>251250000</v>
      </c>
      <c r="I708" s="66">
        <f>IFERROR(__xludf.DUMMYFUNCTION("""COMPUTED_VALUE"""),10.05)</f>
        <v>10.05</v>
      </c>
      <c r="J708" s="62">
        <f>IFERROR(__xludf.DUMMYFUNCTION("""COMPUTED_VALUE"""),0.00904)</f>
        <v>0.00904</v>
      </c>
      <c r="K708" s="59">
        <f>IFERROR(__xludf.DUMMYFUNCTION("""COMPUTED_VALUE"""),10.5)</f>
        <v>10.5</v>
      </c>
      <c r="L708" s="87">
        <f>IFERROR(__xludf.DUMMYFUNCTION("""COMPUTED_VALUE"""),1.11)</f>
        <v>1.11</v>
      </c>
      <c r="M708" s="64" t="str">
        <f>IFERROR(__xludf.DUMMYFUNCTION("""COMPUTED_VALUE"""),"U: [1/2 W]; W: [1:1, $11.5]")</f>
        <v>U: [1/2 W]; W: [1:1, $11.5]</v>
      </c>
      <c r="N708" s="65" t="str">
        <f>IFERROR(__xludf.DUMMYFUNCTION("""COMPUTED_VALUE"""),"")</f>
        <v/>
      </c>
      <c r="O708" s="66">
        <f>IFERROR(__xludf.DUMMYFUNCTION("""COMPUTED_VALUE"""),0.0)</f>
        <v>0</v>
      </c>
      <c r="P708" s="67">
        <f>IFERROR(__xludf.DUMMYFUNCTION("""COMPUTED_VALUE"""),44125.0)</f>
        <v>44125</v>
      </c>
      <c r="Q708" s="68">
        <f>IFERROR(__xludf.DUMMYFUNCTION("""COMPUTED_VALUE"""),250.0)</f>
        <v>250</v>
      </c>
      <c r="R708" s="69" t="str">
        <f>IFERROR(__xludf.DUMMYFUNCTION("""COMPUTED_VALUE"""),"Jefferies")</f>
        <v>Jefferies</v>
      </c>
      <c r="S708" s="64">
        <f>IFERROR(__xludf.DUMMYFUNCTION("""COMPUTED_VALUE"""),44855.0)</f>
        <v>44855</v>
      </c>
      <c r="T708" s="70">
        <f>IFERROR(__xludf.DUMMYFUNCTION("""COMPUTED_VALUE"""),0.23424657534246576)</f>
        <v>0.2342465753</v>
      </c>
      <c r="U708" s="71" t="str">
        <f>IFERROR(__xludf.DUMMYFUNCTION("""COMPUTED_VALUE"""),"https://www.sec.gov/cgi-bin/browse-edgar?CIK=1822027")</f>
        <v>https://www.sec.gov/cgi-bin/browse-edgar?CIK=1822027</v>
      </c>
      <c r="V708" s="72" t="str">
        <f>IFERROR(__xludf.DUMMYFUNCTION("""COMPUTED_VALUE"""),"            ")</f>
        <v>            </v>
      </c>
      <c r="W708" s="73"/>
      <c r="X708" s="74"/>
      <c r="Y708" s="75"/>
      <c r="Z708" s="60"/>
      <c r="AA708" s="60"/>
      <c r="AB708" s="60"/>
      <c r="AC708" s="60"/>
      <c r="AD708" s="73"/>
      <c r="AE708" s="73"/>
      <c r="AF708" s="76"/>
      <c r="AG708" s="60" t="str">
        <f>IFERROR(__xludf.DUMMYFUNCTION("""COMPUTED_VALUE"""),"")</f>
        <v/>
      </c>
    </row>
    <row r="709">
      <c r="A709" s="88" t="str">
        <f>IFERROR(__xludf.DUMMYFUNCTION("""COMPUTED_VALUE"""),"TETC")</f>
        <v>TETC</v>
      </c>
      <c r="B709" s="55" t="str">
        <f>IFERROR(__xludf.DUMMYFUNCTION("""COMPUTED_VALUE"""),"Tech &amp; Energy Transition Corp")</f>
        <v>Tech &amp; Energy Transition Corp</v>
      </c>
      <c r="C709" s="56" t="str">
        <f>IFERROR(__xludf.DUMMYFUNCTION("""COMPUTED_VALUE"""),"Searching (Pre Unit Split)")</f>
        <v>Searching (Pre Unit Split)</v>
      </c>
      <c r="D709" s="77" t="str">
        <f>IFERROR(__xludf.DUMMYFUNCTION("""COMPUTED_VALUE"""),"Digital media, sports, entertainment, leisure, and gaming")</f>
        <v>Digital media, sports, entertainment, leisure, and gaming</v>
      </c>
      <c r="E709" s="58"/>
      <c r="F709" s="59" t="str">
        <f>IFERROR(__xludf.DUMMYFUNCTION("""COMPUTED_VALUE"""),"Matthew Davey (CEO of Tekkorp Capital, Former CEO of SG Digital, and Former CEO of NYX Gaming Group), Tony Rodio (Former CEO of Caesars Entertainment, Former CEO of Affinity Gaming, and Former CEO of Tropicana Entertainment)")</f>
        <v>Matthew Davey (CEO of Tekkorp Capital, Former CEO of SG Digital, and Former CEO of NYX Gaming Group), Tony Rodio (Former CEO of Caesars Entertainment, Former CEO of Affinity Gaming, and Former CEO of Tropicana Entertainment)</v>
      </c>
      <c r="G709" s="60">
        <f>IFERROR(__xludf.DUMMYFUNCTION("""COMPUTED_VALUE"""),3.85E8)</f>
        <v>385000000</v>
      </c>
      <c r="H709" s="60" t="str">
        <f>IFERROR(__xludf.DUMMYFUNCTION("""COMPUTED_VALUE""")," ")</f>
        <v> </v>
      </c>
      <c r="I709" s="66" t="str">
        <f>IFERROR(__xludf.DUMMYFUNCTION("""COMPUTED_VALUE""")," ")</f>
        <v> </v>
      </c>
      <c r="J709" s="62" t="str">
        <f>IFERROR(__xludf.DUMMYFUNCTION("""COMPUTED_VALUE""")," ")</f>
        <v> </v>
      </c>
      <c r="K709" s="59">
        <f>IFERROR(__xludf.DUMMYFUNCTION("""COMPUTED_VALUE"""),9.98)</f>
        <v>9.98</v>
      </c>
      <c r="L709" s="87" t="str">
        <f>IFERROR(__xludf.DUMMYFUNCTION("""COMPUTED_VALUE""")," ")</f>
        <v> </v>
      </c>
      <c r="M709" s="64" t="str">
        <f>IFERROR(__xludf.DUMMYFUNCTION("""COMPUTED_VALUE"""),"U: [1/3 W]; W: [1:1, $11.5]")</f>
        <v>U: [1/3 W]; W: [1:1, $11.5]</v>
      </c>
      <c r="N709" s="65">
        <f>IFERROR(__xludf.DUMMYFUNCTION("""COMPUTED_VALUE"""),44324.0)</f>
        <v>44324</v>
      </c>
      <c r="O709" s="66">
        <f>IFERROR(__xludf.DUMMYFUNCTION("""COMPUTED_VALUE"""),0.0)</f>
        <v>0</v>
      </c>
      <c r="P709" s="67">
        <f>IFERROR(__xludf.DUMMYFUNCTION("""COMPUTED_VALUE"""),44272.0)</f>
        <v>44272</v>
      </c>
      <c r="Q709" s="68">
        <f>IFERROR(__xludf.DUMMYFUNCTION("""COMPUTED_VALUE"""),385.0)</f>
        <v>385</v>
      </c>
      <c r="R709" s="69" t="str">
        <f>IFERROR(__xludf.DUMMYFUNCTION("""COMPUTED_VALUE"""),"Citigroup, BofA Securities, Macquarie Capital")</f>
        <v>Citigroup, BofA Securities, Macquarie Capital</v>
      </c>
      <c r="S709" s="64">
        <f>IFERROR(__xludf.DUMMYFUNCTION("""COMPUTED_VALUE"""),45002.0)</f>
        <v>45002</v>
      </c>
      <c r="T709" s="70">
        <f>IFERROR(__xludf.DUMMYFUNCTION("""COMPUTED_VALUE"""),0.03287671232876712)</f>
        <v>0.03287671233</v>
      </c>
      <c r="U709" s="71" t="str">
        <f>IFERROR(__xludf.DUMMYFUNCTION("""COMPUTED_VALUE"""),"https://www.sec.gov/cgi-bin/browse-edgar?CIK=1840920")</f>
        <v>https://www.sec.gov/cgi-bin/browse-edgar?CIK=1840920</v>
      </c>
      <c r="V709" s="72" t="str">
        <f>IFERROR(__xludf.DUMMYFUNCTION("""COMPUTED_VALUE"""),"           Top Tier UW ")</f>
        <v>           Top Tier UW </v>
      </c>
      <c r="W709" s="73"/>
      <c r="X709" s="74"/>
      <c r="Y709" s="75"/>
      <c r="Z709" s="60"/>
      <c r="AA709" s="60"/>
      <c r="AB709" s="60"/>
      <c r="AC709" s="60"/>
      <c r="AD709" s="73"/>
      <c r="AE709" s="73"/>
      <c r="AF709" s="76"/>
      <c r="AG709" s="60"/>
    </row>
    <row r="710">
      <c r="A710" s="88" t="str">
        <f>IFERROR(__xludf.DUMMYFUNCTION("""COMPUTED_VALUE"""),"TGAA")</f>
        <v>TGAA</v>
      </c>
      <c r="B710" s="55" t="str">
        <f>IFERROR(__xludf.DUMMYFUNCTION("""COMPUTED_VALUE"""),"Target Global Acquisition I Corp.")</f>
        <v>Target Global Acquisition I Corp.</v>
      </c>
      <c r="C710" s="56" t="str">
        <f>IFERROR(__xludf.DUMMYFUNCTION("""COMPUTED_VALUE"""),"Pre IPO")</f>
        <v>Pre IPO</v>
      </c>
      <c r="D710" s="77" t="str">
        <f>IFERROR(__xludf.DUMMYFUNCTION("""COMPUTED_VALUE"""),"Consumer Internet, Mobility, FinTech")</f>
        <v>Consumer Internet, Mobility, FinTech</v>
      </c>
      <c r="E710" s="58"/>
      <c r="F710" s="59" t="str">
        <f>IFERROR(__xludf.DUMMYFUNCTION("""COMPUTED_VALUE"""),"Michael Abbott (Founder/ Exec Chairman, Columbia Care)")</f>
        <v>Michael Abbott (Founder/ Exec Chairman, Columbia Care)</v>
      </c>
      <c r="G710" s="60">
        <f>IFERROR(__xludf.DUMMYFUNCTION("""COMPUTED_VALUE"""),2.5E8)</f>
        <v>250000000</v>
      </c>
      <c r="H710" s="60" t="str">
        <f>IFERROR(__xludf.DUMMYFUNCTION("""COMPUTED_VALUE""")," ")</f>
        <v> </v>
      </c>
      <c r="I710" s="66" t="str">
        <f>IFERROR(__xludf.DUMMYFUNCTION("""COMPUTED_VALUE""")," ")</f>
        <v> </v>
      </c>
      <c r="J710" s="62" t="str">
        <f>IFERROR(__xludf.DUMMYFUNCTION("""COMPUTED_VALUE""")," ")</f>
        <v> </v>
      </c>
      <c r="K710" s="59" t="str">
        <f>IFERROR(__xludf.DUMMYFUNCTION("""COMPUTED_VALUE""")," ")</f>
        <v> </v>
      </c>
      <c r="L710" s="87" t="str">
        <f>IFERROR(__xludf.DUMMYFUNCTION("""COMPUTED_VALUE""")," ")</f>
        <v> </v>
      </c>
      <c r="M710" s="64" t="str">
        <f>IFERROR(__xludf.DUMMYFUNCTION("""COMPUTED_VALUE"""),"U: [1/3 W]; W: [1:1, $11.5]")</f>
        <v>U: [1/3 W]; W: [1:1, $11.5]</v>
      </c>
      <c r="N710" s="65" t="str">
        <f>IFERROR(__xludf.DUMMYFUNCTION("""COMPUTED_VALUE"""),"")</f>
        <v/>
      </c>
      <c r="O710" s="66">
        <f>IFERROR(__xludf.DUMMYFUNCTION("""COMPUTED_VALUE"""),0.0)</f>
        <v>0</v>
      </c>
      <c r="P710" s="67"/>
      <c r="Q710" s="68">
        <f>IFERROR(__xludf.DUMMYFUNCTION("""COMPUTED_VALUE"""),250.0)</f>
        <v>250</v>
      </c>
      <c r="R710" s="69" t="str">
        <f>IFERROR(__xludf.DUMMYFUNCTION("""COMPUTED_VALUE"""),"Credit Suisse")</f>
        <v>Credit Suisse</v>
      </c>
      <c r="S710" s="64">
        <f>IFERROR(__xludf.DUMMYFUNCTION("""COMPUTED_VALUE"""),45086.0)</f>
        <v>45086</v>
      </c>
      <c r="T710" s="70" t="str">
        <f>IFERROR(__xludf.DUMMYFUNCTION("""COMPUTED_VALUE"""),"")</f>
        <v/>
      </c>
      <c r="U710" s="71" t="str">
        <f>IFERROR(__xludf.DUMMYFUNCTION("""COMPUTED_VALUE"""),"https://www.sec.gov/cgi-bin/browse-edgar?CIK=1847355")</f>
        <v>https://www.sec.gov/cgi-bin/browse-edgar?CIK=1847355</v>
      </c>
      <c r="V710" s="72" t="str">
        <f>IFERROR(__xludf.DUMMYFUNCTION("""COMPUTED_VALUE"""),"            ")</f>
        <v>            </v>
      </c>
      <c r="W710" s="73"/>
      <c r="X710" s="74"/>
      <c r="Y710" s="75"/>
      <c r="Z710" s="60"/>
      <c r="AA710" s="60"/>
      <c r="AB710" s="60"/>
      <c r="AC710" s="60"/>
      <c r="AD710" s="73"/>
      <c r="AE710" s="73"/>
      <c r="AF710" s="76"/>
      <c r="AG710" s="60"/>
    </row>
    <row r="711">
      <c r="A711" s="54" t="str">
        <f>IFERROR(__xludf.DUMMYFUNCTION("""COMPUTED_VALUE"""),"THBR")</f>
        <v>THBR</v>
      </c>
      <c r="B711" s="55" t="str">
        <f>IFERROR(__xludf.DUMMYFUNCTION("""COMPUTED_VALUE"""),"Thunder Bridge Acquisition II")</f>
        <v>Thunder Bridge Acquisition II</v>
      </c>
      <c r="C711" s="56" t="str">
        <f>IFERROR(__xludf.DUMMYFUNCTION("""COMPUTED_VALUE"""),"Definitive Agreement")</f>
        <v>Definitive Agreement</v>
      </c>
      <c r="D711" s="57" t="str">
        <f>IFERROR(__xludf.DUMMYFUNCTION("""COMPUTED_VALUE"""),"Fintech")</f>
        <v>Fintech</v>
      </c>
      <c r="E711" s="58" t="str">
        <f>IFERROR(__xludf.DUMMYFUNCTION("""COMPUTED_VALUE"""),"indie Semiconductor [DA: 12/15/20]")</f>
        <v>indie Semiconductor [DA: 12/15/20]</v>
      </c>
      <c r="F711" s="59" t="str">
        <f>IFERROR(__xludf.DUMMYFUNCTION("""COMPUTED_VALUE"""),"Peter Kight (Founder, CheckFree (acquired by FiServ), Director, Bill.com)")</f>
        <v>Peter Kight (Founder, CheckFree (acquired by FiServ), Director, Bill.com)</v>
      </c>
      <c r="G711" s="60">
        <f>IFERROR(__xludf.DUMMYFUNCTION("""COMPUTED_VALUE"""),3.49574326E8)</f>
        <v>349574326</v>
      </c>
      <c r="H711" s="60">
        <f>IFERROR(__xludf.DUMMYFUNCTION("""COMPUTED_VALUE"""),3.57765E8)</f>
        <v>357765000</v>
      </c>
      <c r="I711" s="66">
        <f>IFERROR(__xludf.DUMMYFUNCTION("""COMPUTED_VALUE"""),10.37)</f>
        <v>10.37</v>
      </c>
      <c r="J711" s="62">
        <f>IFERROR(__xludf.DUMMYFUNCTION("""COMPUTED_VALUE"""),-0.01238)</f>
        <v>-0.01238</v>
      </c>
      <c r="K711" s="59">
        <f>IFERROR(__xludf.DUMMYFUNCTION("""COMPUTED_VALUE"""),12.42)</f>
        <v>12.42</v>
      </c>
      <c r="L711" s="87">
        <f>IFERROR(__xludf.DUMMYFUNCTION("""COMPUTED_VALUE"""),2.05)</f>
        <v>2.05</v>
      </c>
      <c r="M711" s="64" t="str">
        <f>IFERROR(__xludf.DUMMYFUNCTION("""COMPUTED_VALUE"""),"U: [1/2 W]; W: [1:1, $11.5]")</f>
        <v>U: [1/2 W]; W: [1:1, $11.5]</v>
      </c>
      <c r="N711" s="65" t="str">
        <f>IFERROR(__xludf.DUMMYFUNCTION("""COMPUTED_VALUE"""),"")</f>
        <v/>
      </c>
      <c r="O711" s="66">
        <f>IFERROR(__xludf.DUMMYFUNCTION("""COMPUTED_VALUE"""),0.0)</f>
        <v>0</v>
      </c>
      <c r="P711" s="67">
        <f>IFERROR(__xludf.DUMMYFUNCTION("""COMPUTED_VALUE"""),43685.0)</f>
        <v>43685</v>
      </c>
      <c r="Q711" s="68">
        <f>IFERROR(__xludf.DUMMYFUNCTION("""COMPUTED_VALUE"""),345.0)</f>
        <v>345</v>
      </c>
      <c r="R711" s="69" t="str">
        <f>IFERROR(__xludf.DUMMYFUNCTION("""COMPUTED_VALUE"""),"Morgan Stanley, Cantor")</f>
        <v>Morgan Stanley, Cantor</v>
      </c>
      <c r="S711" s="64">
        <f>IFERROR(__xludf.DUMMYFUNCTION("""COMPUTED_VALUE"""),44415.0)</f>
        <v>44415</v>
      </c>
      <c r="T711" s="70">
        <f>IFERROR(__xludf.DUMMYFUNCTION("""COMPUTED_VALUE"""),0.836986301369863)</f>
        <v>0.8369863014</v>
      </c>
      <c r="U711" s="71" t="str">
        <f>IFERROR(__xludf.DUMMYFUNCTION("""COMPUTED_VALUE"""),"https://www.sec.gov/cgi-bin/browse-edgar?CIK=1769318")</f>
        <v>https://www.sec.gov/cgi-bin/browse-edgar?CIK=1769318</v>
      </c>
      <c r="V711" s="72" t="str">
        <f>IFERROR(__xludf.DUMMYFUNCTION("""COMPUTED_VALUE"""),"     Optionable     Serial Sponsor Top Tier UW ")</f>
        <v>     Optionable     Serial Sponsor Top Tier UW </v>
      </c>
      <c r="W711" s="73">
        <f>IFERROR(__xludf.DUMMYFUNCTION("""COMPUTED_VALUE"""),44180.0)</f>
        <v>44180</v>
      </c>
      <c r="X711" s="79">
        <f>IFERROR(__xludf.DUMMYFUNCTION("""COMPUTED_VALUE"""),16.5)</f>
        <v>16.5</v>
      </c>
      <c r="Y711" s="80" t="str">
        <f>IFERROR(__xludf.DUMMYFUNCTION("""COMPUTED_VALUE"""),"https://www.businesswire.com/news/home/20201215005430/en/indie-Semiconductor-Enters-Definitive-Merger-Agreement-with-Thunder-Bridge-Acquisition-II-Ltd.")</f>
        <v>https://www.businesswire.com/news/home/20201215005430/en/indie-Semiconductor-Enters-Definitive-Merger-Agreement-with-Thunder-Bridge-Acquisition-II-Ltd.</v>
      </c>
      <c r="Z711" s="81" t="str">
        <f>IFERROR(__xludf.DUMMYFUNCTION("""COMPUTED_VALUE"""),"https://www.sec.gov/Archives/edgar/data/1769318/000121390020042671/ea131644ex99-2_thunder2.htm")</f>
        <v>https://www.sec.gov/Archives/edgar/data/1769318/000121390020042671/ea131644ex99-2_thunder2.htm</v>
      </c>
      <c r="AA711" s="60">
        <f>IFERROR(__xludf.DUMMYFUNCTION("""COMPUTED_VALUE"""),1.5E8)</f>
        <v>150000000</v>
      </c>
      <c r="AB711" s="60">
        <f>IFERROR(__xludf.DUMMYFUNCTION("""COMPUTED_VALUE"""),1.447E9)</f>
        <v>1447000000</v>
      </c>
      <c r="AC711" s="60">
        <f>IFERROR(__xludf.DUMMYFUNCTION("""COMPUTED_VALUE"""),9.82E8)</f>
        <v>982000000</v>
      </c>
      <c r="AD711" s="73"/>
      <c r="AE711" s="73"/>
      <c r="AF711" s="76">
        <f>IFERROR(__xludf.DUMMYFUNCTION("""COMPUTED_VALUE"""),1.447E8)</f>
        <v>144700000</v>
      </c>
      <c r="AG711" s="60">
        <f>IFERROR(__xludf.DUMMYFUNCTION("""COMPUTED_VALUE"""),1.500539E9)</f>
        <v>1500539000</v>
      </c>
    </row>
    <row r="712">
      <c r="A712" s="54" t="str">
        <f>IFERROR(__xludf.DUMMYFUNCTION("""COMPUTED_VALUE"""),"THCA")</f>
        <v>THCA</v>
      </c>
      <c r="B712" s="55" t="str">
        <f>IFERROR(__xludf.DUMMYFUNCTION("""COMPUTED_VALUE"""),"Tuscan Holdings Corp II")</f>
        <v>Tuscan Holdings Corp II</v>
      </c>
      <c r="C712" s="56" t="str">
        <f>IFERROR(__xludf.DUMMYFUNCTION("""COMPUTED_VALUE"""),"Searching")</f>
        <v>Searching</v>
      </c>
      <c r="D712" s="57" t="str">
        <f>IFERROR(__xludf.DUMMYFUNCTION("""COMPUTED_VALUE"""),"Cannabis")</f>
        <v>Cannabis</v>
      </c>
      <c r="E712" s="58" t="str">
        <f>IFERROR(__xludf.DUMMYFUNCTION("""COMPUTED_VALUE"""),"[In talks (unconfirmed) with Transfix: Per Bloomberg 12/1/20]")</f>
        <v>[In talks (unconfirmed) with Transfix: Per Bloomberg 12/1/20]</v>
      </c>
      <c r="F712" s="59"/>
      <c r="G712" s="60">
        <f>IFERROR(__xludf.DUMMYFUNCTION("""COMPUTED_VALUE"""),1.74550466E8)</f>
        <v>174550466</v>
      </c>
      <c r="H712" s="60">
        <f>IFERROR(__xludf.DUMMYFUNCTION("""COMPUTED_VALUE"""),2.2207375E8)</f>
        <v>222073750</v>
      </c>
      <c r="I712" s="66">
        <f>IFERROR(__xludf.DUMMYFUNCTION("""COMPUTED_VALUE"""),10.1)</f>
        <v>10.1</v>
      </c>
      <c r="J712" s="62"/>
      <c r="K712" s="59">
        <f>IFERROR(__xludf.DUMMYFUNCTION("""COMPUTED_VALUE"""),10.4)</f>
        <v>10.4</v>
      </c>
      <c r="L712" s="87">
        <f>IFERROR(__xludf.DUMMYFUNCTION("""COMPUTED_VALUE"""),0.84)</f>
        <v>0.84</v>
      </c>
      <c r="M712" s="64" t="str">
        <f>IFERROR(__xludf.DUMMYFUNCTION("""COMPUTED_VALUE"""),"U: [1/2 W]; W: [1:1, $11.5]")</f>
        <v>U: [1/2 W]; W: [1:1, $11.5]</v>
      </c>
      <c r="N712" s="65" t="str">
        <f>IFERROR(__xludf.DUMMYFUNCTION("""COMPUTED_VALUE"""),"")</f>
        <v/>
      </c>
      <c r="O712" s="66">
        <f>IFERROR(__xludf.DUMMYFUNCTION("""COMPUTED_VALUE"""),0.0)</f>
        <v>0</v>
      </c>
      <c r="P712" s="67">
        <f>IFERROR(__xludf.DUMMYFUNCTION("""COMPUTED_VALUE"""),43657.0)</f>
        <v>43657</v>
      </c>
      <c r="Q712" s="68">
        <f>IFERROR(__xludf.DUMMYFUNCTION("""COMPUTED_VALUE"""),172.5)</f>
        <v>172.5</v>
      </c>
      <c r="R712" s="69" t="str">
        <f>IFERROR(__xludf.DUMMYFUNCTION("""COMPUTED_VALUE"""),"EarlyBirdCapital, I-Bankers")</f>
        <v>EarlyBirdCapital, I-Bankers</v>
      </c>
      <c r="S712" s="64">
        <f>IFERROR(__xludf.DUMMYFUNCTION("""COMPUTED_VALUE"""),44295.75)</f>
        <v>44295.75</v>
      </c>
      <c r="T712" s="70">
        <f>IFERROR(__xludf.DUMMYFUNCTION("""COMPUTED_VALUE"""),1.0003913894324854)</f>
        <v>1.000391389</v>
      </c>
      <c r="U712" s="71" t="str">
        <f>IFERROR(__xludf.DUMMYFUNCTION("""COMPUTED_VALUE"""),"https://www.sec.gov/cgi-bin/browse-edgar?CIK=1773087")</f>
        <v>https://www.sec.gov/cgi-bin/browse-edgar?CIK=1773087</v>
      </c>
      <c r="V712" s="72" t="str">
        <f>IFERROR(__xludf.DUMMYFUNCTION("""COMPUTED_VALUE"""),"     Optionable Deadline Approaching      ")</f>
        <v>     Optionable Deadline Approaching      </v>
      </c>
      <c r="W712" s="73"/>
      <c r="X712" s="74"/>
      <c r="Y712" s="75"/>
      <c r="Z712" s="60"/>
      <c r="AA712" s="60"/>
      <c r="AB712" s="60"/>
      <c r="AC712" s="60"/>
      <c r="AD712" s="73"/>
      <c r="AE712" s="73"/>
      <c r="AF712" s="76"/>
      <c r="AG712" s="60" t="str">
        <f>IFERROR(__xludf.DUMMYFUNCTION("""COMPUTED_VALUE"""),"")</f>
        <v/>
      </c>
    </row>
    <row r="713">
      <c r="A713" s="54" t="str">
        <f>IFERROR(__xludf.DUMMYFUNCTION("""COMPUTED_VALUE"""),"THCB")</f>
        <v>THCB</v>
      </c>
      <c r="B713" s="55" t="str">
        <f>IFERROR(__xludf.DUMMYFUNCTION("""COMPUTED_VALUE"""),"Tuscan Holdings Corp")</f>
        <v>Tuscan Holdings Corp</v>
      </c>
      <c r="C713" s="56" t="str">
        <f>IFERROR(__xludf.DUMMYFUNCTION("""COMPUTED_VALUE"""),"Definitive Agreement")</f>
        <v>Definitive Agreement</v>
      </c>
      <c r="D713" s="57" t="str">
        <f>IFERROR(__xludf.DUMMYFUNCTION("""COMPUTED_VALUE"""),"Cannabis")</f>
        <v>Cannabis</v>
      </c>
      <c r="E713" s="58" t="str">
        <f>IFERROR(__xludf.DUMMYFUNCTION("""COMPUTED_VALUE"""),"Microvast Inc. [DA: 02/01/21]")</f>
        <v>Microvast Inc. [DA: 02/01/21]</v>
      </c>
      <c r="F713" s="59"/>
      <c r="G713" s="60">
        <f>IFERROR(__xludf.DUMMYFUNCTION("""COMPUTED_VALUE"""),2.82180433E8)</f>
        <v>282180433</v>
      </c>
      <c r="H713" s="60">
        <f>IFERROR(__xludf.DUMMYFUNCTION("""COMPUTED_VALUE"""),4.47450743E8)</f>
        <v>447450743</v>
      </c>
      <c r="I713" s="66">
        <f>IFERROR(__xludf.DUMMYFUNCTION("""COMPUTED_VALUE"""),12.61)</f>
        <v>12.61</v>
      </c>
      <c r="J713" s="62">
        <f>IFERROR(__xludf.DUMMYFUNCTION("""COMPUTED_VALUE"""),0.0194)</f>
        <v>0.0194</v>
      </c>
      <c r="K713" s="59">
        <f>IFERROR(__xludf.DUMMYFUNCTION("""COMPUTED_VALUE"""),16.33)</f>
        <v>16.33</v>
      </c>
      <c r="L713" s="87">
        <f>IFERROR(__xludf.DUMMYFUNCTION("""COMPUTED_VALUE"""),3.58)</f>
        <v>3.58</v>
      </c>
      <c r="M713" s="64" t="str">
        <f>IFERROR(__xludf.DUMMYFUNCTION("""COMPUTED_VALUE"""),"U: [1 W]; W: [1:1, $11.5]")</f>
        <v>U: [1 W]; W: [1:1, $11.5]</v>
      </c>
      <c r="N713" s="65" t="str">
        <f>IFERROR(__xludf.DUMMYFUNCTION("""COMPUTED_VALUE"""),"")</f>
        <v/>
      </c>
      <c r="O713" s="66">
        <f>IFERROR(__xludf.DUMMYFUNCTION("""COMPUTED_VALUE"""),1.1099999999999994)</f>
        <v>1.11</v>
      </c>
      <c r="P713" s="67">
        <f>IFERROR(__xludf.DUMMYFUNCTION("""COMPUTED_VALUE"""),43529.0)</f>
        <v>43529</v>
      </c>
      <c r="Q713" s="68">
        <f>IFERROR(__xludf.DUMMYFUNCTION("""COMPUTED_VALUE"""),276.0)</f>
        <v>276</v>
      </c>
      <c r="R713" s="69" t="str">
        <f>IFERROR(__xludf.DUMMYFUNCTION("""COMPUTED_VALUE"""),"EarlyBirdCapital, I-Bankers")</f>
        <v>EarlyBirdCapital, I-Bankers</v>
      </c>
      <c r="S713" s="64">
        <f>IFERROR(__xludf.DUMMYFUNCTION("""COMPUTED_VALUE"""),44316.0)</f>
        <v>44316</v>
      </c>
      <c r="T713" s="70">
        <f>IFERROR(__xludf.DUMMYFUNCTION("""COMPUTED_VALUE"""),0.974587039390089)</f>
        <v>0.9745870394</v>
      </c>
      <c r="U713" s="71" t="str">
        <f>IFERROR(__xludf.DUMMYFUNCTION("""COMPUTED_VALUE"""),"https://www.sec.gov/cgi-bin/browse-edgar?CIK=1760689")</f>
        <v>https://www.sec.gov/cgi-bin/browse-edgar?CIK=1760689</v>
      </c>
      <c r="V713" s="72" t="str">
        <f>IFERROR(__xludf.DUMMYFUNCTION("""COMPUTED_VALUE"""),"E.V., Sustainability, Energy, Battery     Optionable Deadline Approaching      ")</f>
        <v>E.V., Sustainability, Energy, Battery     Optionable Deadline Approaching      </v>
      </c>
      <c r="W713" s="73">
        <f>IFERROR(__xludf.DUMMYFUNCTION("""COMPUTED_VALUE"""),44228.0)</f>
        <v>44228</v>
      </c>
      <c r="X713" s="79">
        <f>IFERROR(__xludf.DUMMYFUNCTION("""COMPUTED_VALUE"""),23.3)</f>
        <v>23.3</v>
      </c>
      <c r="Y713" s="80" t="str">
        <f>IFERROR(__xludf.DUMMYFUNCTION("""COMPUTED_VALUE"""),"https://www.businesswire.com/news/home/20210201005283/en/Microvast-a-Leading-Innovator-of-EV-Battery-Technologies-to-List-on-Nasdaq-Through-Merger-with-Tuscan-Holdings-Corp")</f>
        <v>https://www.businesswire.com/news/home/20210201005283/en/Microvast-a-Leading-Innovator-of-EV-Battery-Technologies-to-List-on-Nasdaq-Through-Merger-with-Tuscan-Holdings-Corp</v>
      </c>
      <c r="Z713" s="81" t="str">
        <f>IFERROR(__xludf.DUMMYFUNCTION("""COMPUTED_VALUE"""),"https://www.sec.gov/Archives/edgar/data/1760689/000121390021005602/ea134295ex99-2_tuscanhold.htm")</f>
        <v>https://www.sec.gov/Archives/edgar/data/1760689/000121390021005602/ea134295ex99-2_tuscanhold.htm</v>
      </c>
      <c r="AA713" s="60">
        <f>IFERROR(__xludf.DUMMYFUNCTION("""COMPUTED_VALUE"""),5.4E8)</f>
        <v>540000000</v>
      </c>
      <c r="AB713" s="60">
        <f>IFERROR(__xludf.DUMMYFUNCTION("""COMPUTED_VALUE"""),3.005E9)</f>
        <v>3005000000</v>
      </c>
      <c r="AC713" s="60">
        <f>IFERROR(__xludf.DUMMYFUNCTION("""COMPUTED_VALUE"""),2.403E9)</f>
        <v>2403000000</v>
      </c>
      <c r="AD713" s="73"/>
      <c r="AE713" s="73"/>
      <c r="AF713" s="76">
        <f>IFERROR(__xludf.DUMMYFUNCTION("""COMPUTED_VALUE"""),3.005E8)</f>
        <v>300500000</v>
      </c>
      <c r="AG713" s="60">
        <f>IFERROR(__xludf.DUMMYFUNCTION("""COMPUTED_VALUE"""),3.789305E9)</f>
        <v>3789305000</v>
      </c>
    </row>
    <row r="714">
      <c r="A714" s="88" t="str">
        <f>IFERROR(__xludf.DUMMYFUNCTION("""COMPUTED_VALUE"""),"THCP")</f>
        <v>THCP</v>
      </c>
      <c r="B714" s="55" t="str">
        <f>IFERROR(__xludf.DUMMYFUNCTION("""COMPUTED_VALUE"""),"Thunder Bridge Capital Partners IV, Inc.")</f>
        <v>Thunder Bridge Capital Partners IV, Inc.</v>
      </c>
      <c r="C714" s="56" t="str">
        <f>IFERROR(__xludf.DUMMYFUNCTION("""COMPUTED_VALUE"""),"Pre IPO")</f>
        <v>Pre IPO</v>
      </c>
      <c r="D714" s="77" t="str">
        <f>IFERROR(__xludf.DUMMYFUNCTION("""COMPUTED_VALUE"""),"Financial Services")</f>
        <v>Financial Services</v>
      </c>
      <c r="E714" s="58"/>
      <c r="F714" s="59" t="str">
        <f>IFERROR(__xludf.DUMMYFUNCTION("""COMPUTED_VALUE"""),"David Mangum (Former COO of Global Payments, and Former CFO of CheckFree Corporation), Pete Kight (Founder, Former Chairman, &amp; CEO of CheckFree Corporation, Former Director &amp; Vice Vhairman of Fiserv, and Director of Bill.com)")</f>
        <v>David Mangum (Former COO of Global Payments, and Former CFO of CheckFree Corporation), Pete Kight (Founder, Former Chairman, &amp; CEO of CheckFree Corporation, Former Director &amp; Vice Vhairman of Fiserv, and Director of Bill.com)</v>
      </c>
      <c r="G714" s="60">
        <f>IFERROR(__xludf.DUMMYFUNCTION("""COMPUTED_VALUE"""),2.25E8)</f>
        <v>225000000</v>
      </c>
      <c r="H714" s="60" t="str">
        <f>IFERROR(__xludf.DUMMYFUNCTION("""COMPUTED_VALUE""")," ")</f>
        <v> </v>
      </c>
      <c r="I714" s="66" t="str">
        <f>IFERROR(__xludf.DUMMYFUNCTION("""COMPUTED_VALUE""")," ")</f>
        <v> </v>
      </c>
      <c r="J714" s="62" t="str">
        <f>IFERROR(__xludf.DUMMYFUNCTION("""COMPUTED_VALUE""")," ")</f>
        <v> </v>
      </c>
      <c r="K714" s="59" t="str">
        <f>IFERROR(__xludf.DUMMYFUNCTION("""COMPUTED_VALUE""")," ")</f>
        <v> </v>
      </c>
      <c r="L714" s="87" t="str">
        <f>IFERROR(__xludf.DUMMYFUNCTION("""COMPUTED_VALUE""")," ")</f>
        <v> </v>
      </c>
      <c r="M714" s="64" t="str">
        <f>IFERROR(__xludf.DUMMYFUNCTION("""COMPUTED_VALUE"""),"U: [1/5 W]; W: [1:1, $11.5]")</f>
        <v>U: [1/5 W]; W: [1:1, $11.5]</v>
      </c>
      <c r="N714" s="65" t="str">
        <f>IFERROR(__xludf.DUMMYFUNCTION("""COMPUTED_VALUE"""),"")</f>
        <v/>
      </c>
      <c r="O714" s="66">
        <f>IFERROR(__xludf.DUMMYFUNCTION("""COMPUTED_VALUE"""),0.0)</f>
        <v>0</v>
      </c>
      <c r="P714" s="67"/>
      <c r="Q714" s="68">
        <f>IFERROR(__xludf.DUMMYFUNCTION("""COMPUTED_VALUE"""),225.0)</f>
        <v>225</v>
      </c>
      <c r="R714" s="69" t="str">
        <f>IFERROR(__xludf.DUMMYFUNCTION("""COMPUTED_VALUE"""),"Morgan Stanley")</f>
        <v>Morgan Stanley</v>
      </c>
      <c r="S714" s="64">
        <f>IFERROR(__xludf.DUMMYFUNCTION("""COMPUTED_VALUE"""),45086.0)</f>
        <v>45086</v>
      </c>
      <c r="T714" s="70" t="str">
        <f>IFERROR(__xludf.DUMMYFUNCTION("""COMPUTED_VALUE"""),"")</f>
        <v/>
      </c>
      <c r="U714" s="71" t="str">
        <f>IFERROR(__xludf.DUMMYFUNCTION("""COMPUTED_VALUE"""),"https://www.sec.gov/cgi-bin/browse-edgar?CIK=1843993")</f>
        <v>https://www.sec.gov/cgi-bin/browse-edgar?CIK=1843993</v>
      </c>
      <c r="V714" s="72" t="str">
        <f>IFERROR(__xludf.DUMMYFUNCTION("""COMPUTED_VALUE"""),"          Serial Sponsor Top Tier UW ")</f>
        <v>          Serial Sponsor Top Tier UW </v>
      </c>
      <c r="W714" s="73"/>
      <c r="X714" s="74"/>
      <c r="Y714" s="75"/>
      <c r="Z714" s="60"/>
      <c r="AA714" s="60"/>
      <c r="AB714" s="60"/>
      <c r="AC714" s="60"/>
      <c r="AD714" s="73"/>
      <c r="AE714" s="73"/>
      <c r="AF714" s="76"/>
      <c r="AG714" s="60"/>
    </row>
    <row r="715">
      <c r="A715" s="54" t="str">
        <f>IFERROR(__xludf.DUMMYFUNCTION("""COMPUTED_VALUE"""),"THMA")</f>
        <v>THMA</v>
      </c>
      <c r="B715" s="55" t="str">
        <f>IFERROR(__xludf.DUMMYFUNCTION("""COMPUTED_VALUE"""),"Thimble Point Acquisition Corp.")</f>
        <v>Thimble Point Acquisition Corp.</v>
      </c>
      <c r="C715" s="56" t="str">
        <f>IFERROR(__xludf.DUMMYFUNCTION("""COMPUTED_VALUE"""),"Searching")</f>
        <v>Searching</v>
      </c>
      <c r="D715" s="57" t="str">
        <f>IFERROR(__xludf.DUMMYFUNCTION("""COMPUTED_VALUE"""),"Software, Tech")</f>
        <v>Software, Tech</v>
      </c>
      <c r="E715" s="58"/>
      <c r="F715" s="59" t="str">
        <f>IFERROR(__xludf.DUMMYFUNCTION("""COMPUTED_VALUE"""),"Elon Bons (Co-founder, LaunchCapital), Michael Simon (Co-founder/Fmr CEO, LogMeIn)")</f>
        <v>Elon Bons (Co-founder, LaunchCapital), Michael Simon (Co-founder/Fmr CEO, LogMeIn)</v>
      </c>
      <c r="G715" s="60">
        <f>IFERROR(__xludf.DUMMYFUNCTION("""COMPUTED_VALUE"""),2.76E8)</f>
        <v>276000000</v>
      </c>
      <c r="H715" s="60">
        <f>IFERROR(__xludf.DUMMYFUNCTION("""COMPUTED_VALUE"""),2.75724E8)</f>
        <v>275724000</v>
      </c>
      <c r="I715" s="66">
        <f>IFERROR(__xludf.DUMMYFUNCTION("""COMPUTED_VALUE"""),9.99)</f>
        <v>9.99</v>
      </c>
      <c r="J715" s="62">
        <f>IFERROR(__xludf.DUMMYFUNCTION("""COMPUTED_VALUE"""),0.01576)</f>
        <v>0.01576</v>
      </c>
      <c r="K715" s="59">
        <f>IFERROR(__xludf.DUMMYFUNCTION("""COMPUTED_VALUE"""),10.04)</f>
        <v>10.04</v>
      </c>
      <c r="L715" s="87">
        <f>IFERROR(__xludf.DUMMYFUNCTION("""COMPUTED_VALUE"""),0.6801)</f>
        <v>0.6801</v>
      </c>
      <c r="M715" s="64" t="str">
        <f>IFERROR(__xludf.DUMMYFUNCTION("""COMPUTED_VALUE"""),"U: [1/3 W]; W: [1:1, $11.5]")</f>
        <v>U: [1/3 W]; W: [1:1, $11.5]</v>
      </c>
      <c r="N715" s="65" t="str">
        <f>IFERROR(__xludf.DUMMYFUNCTION("""COMPUTED_VALUE"""),"")</f>
        <v/>
      </c>
      <c r="O715" s="66">
        <f>IFERROR(__xludf.DUMMYFUNCTION("""COMPUTED_VALUE"""),0.0)</f>
        <v>0</v>
      </c>
      <c r="P715" s="67">
        <f>IFERROR(__xludf.DUMMYFUNCTION("""COMPUTED_VALUE"""),44228.0)</f>
        <v>44228</v>
      </c>
      <c r="Q715" s="68">
        <f>IFERROR(__xludf.DUMMYFUNCTION("""COMPUTED_VALUE"""),276.0)</f>
        <v>276</v>
      </c>
      <c r="R715" s="69" t="str">
        <f>IFERROR(__xludf.DUMMYFUNCTION("""COMPUTED_VALUE"""),"Citigroup, Credit Suisse")</f>
        <v>Citigroup, Credit Suisse</v>
      </c>
      <c r="S715" s="64">
        <f>IFERROR(__xludf.DUMMYFUNCTION("""COMPUTED_VALUE"""),44958.0)</f>
        <v>44958</v>
      </c>
      <c r="T715" s="70">
        <f>IFERROR(__xludf.DUMMYFUNCTION("""COMPUTED_VALUE"""),0.09315068493150686)</f>
        <v>0.09315068493</v>
      </c>
      <c r="U715" s="71" t="str">
        <f>IFERROR(__xludf.DUMMYFUNCTION("""COMPUTED_VALUE"""),"https://www.sec.gov/cgi-bin/browse-edgar?CIK=1835567")</f>
        <v>https://www.sec.gov/cgi-bin/browse-edgar?CIK=1835567</v>
      </c>
      <c r="V715" s="72" t="str">
        <f>IFERROR(__xludf.DUMMYFUNCTION("""COMPUTED_VALUE""")," Trading Below $10 (Common)          Top Tier UW ")</f>
        <v> Trading Below $10 (Common)          Top Tier UW </v>
      </c>
      <c r="W715" s="73"/>
      <c r="X715" s="74"/>
      <c r="Y715" s="75"/>
      <c r="Z715" s="60"/>
      <c r="AA715" s="60"/>
      <c r="AB715" s="60"/>
      <c r="AC715" s="60"/>
      <c r="AD715" s="73"/>
      <c r="AE715" s="73"/>
      <c r="AF715" s="76"/>
      <c r="AG715" s="60" t="str">
        <f>IFERROR(__xludf.DUMMYFUNCTION("""COMPUTED_VALUE"""),"")</f>
        <v/>
      </c>
    </row>
    <row r="716">
      <c r="A716" s="54" t="str">
        <f>IFERROR(__xludf.DUMMYFUNCTION("""COMPUTED_VALUE"""),"TINV")</f>
        <v>TINV</v>
      </c>
      <c r="B716" s="55" t="str">
        <f>IFERROR(__xludf.DUMMYFUNCTION("""COMPUTED_VALUE"""),"Tiga Acquisition Corp.")</f>
        <v>Tiga Acquisition Corp.</v>
      </c>
      <c r="C716" s="56" t="str">
        <f>IFERROR(__xludf.DUMMYFUNCTION("""COMPUTED_VALUE"""),"Searching")</f>
        <v>Searching</v>
      </c>
      <c r="D716" s="57"/>
      <c r="E716" s="58"/>
      <c r="F716" s="59"/>
      <c r="G716" s="60">
        <f>IFERROR(__xludf.DUMMYFUNCTION("""COMPUTED_VALUE"""),2.7876E8)</f>
        <v>278760000</v>
      </c>
      <c r="H716" s="60">
        <f>IFERROR(__xludf.DUMMYFUNCTION("""COMPUTED_VALUE"""),2.8014E8)</f>
        <v>280140000</v>
      </c>
      <c r="I716" s="66">
        <f>IFERROR(__xludf.DUMMYFUNCTION("""COMPUTED_VALUE"""),10.15)</f>
        <v>10.15</v>
      </c>
      <c r="J716" s="62">
        <f>IFERROR(__xludf.DUMMYFUNCTION("""COMPUTED_VALUE"""),0.00495)</f>
        <v>0.00495</v>
      </c>
      <c r="K716" s="59">
        <f>IFERROR(__xludf.DUMMYFUNCTION("""COMPUTED_VALUE"""),10.93)</f>
        <v>10.93</v>
      </c>
      <c r="L716" s="87">
        <f>IFERROR(__xludf.DUMMYFUNCTION("""COMPUTED_VALUE"""),1.3)</f>
        <v>1.3</v>
      </c>
      <c r="M716" s="64" t="str">
        <f>IFERROR(__xludf.DUMMYFUNCTION("""COMPUTED_VALUE"""),"U: [1/2 W]; W: [1:1, $11.5]")</f>
        <v>U: [1/2 W]; W: [1:1, $11.5]</v>
      </c>
      <c r="N716" s="65" t="str">
        <f>IFERROR(__xludf.DUMMYFUNCTION("""COMPUTED_VALUE"""),"")</f>
        <v/>
      </c>
      <c r="O716" s="66">
        <f>IFERROR(__xludf.DUMMYFUNCTION("""COMPUTED_VALUE"""),0.0)</f>
        <v>0</v>
      </c>
      <c r="P716" s="67">
        <f>IFERROR(__xludf.DUMMYFUNCTION("""COMPUTED_VALUE"""),44159.0)</f>
        <v>44159</v>
      </c>
      <c r="Q716" s="68">
        <f>IFERROR(__xludf.DUMMYFUNCTION("""COMPUTED_VALUE"""),278.76)</f>
        <v>278.76</v>
      </c>
      <c r="R716" s="69" t="str">
        <f>IFERROR(__xludf.DUMMYFUNCTION("""COMPUTED_VALUE"""),"Credit Suisse, Goldman Sachs (Asia)")</f>
        <v>Credit Suisse, Goldman Sachs (Asia)</v>
      </c>
      <c r="S716" s="64">
        <f>IFERROR(__xludf.DUMMYFUNCTION("""COMPUTED_VALUE"""),44341.5)</f>
        <v>44341.5</v>
      </c>
      <c r="T716" s="70">
        <f>IFERROR(__xludf.DUMMYFUNCTION("""COMPUTED_VALUE"""),0.7506849315068493)</f>
        <v>0.7506849315</v>
      </c>
      <c r="U716" s="71" t="str">
        <f>IFERROR(__xludf.DUMMYFUNCTION("""COMPUTED_VALUE"""),"https://www.sec.gov/cgi-bin/browse-edgar?CIK=1820144")</f>
        <v>https://www.sec.gov/cgi-bin/browse-edgar?CIK=1820144</v>
      </c>
      <c r="V716" s="72" t="str">
        <f>IFERROR(__xludf.DUMMYFUNCTION("""COMPUTED_VALUE"""),"      Deadline Approaching     Top Tier UW ")</f>
        <v>      Deadline Approaching     Top Tier UW </v>
      </c>
      <c r="W716" s="73"/>
      <c r="X716" s="74"/>
      <c r="Y716" s="75"/>
      <c r="Z716" s="60"/>
      <c r="AA716" s="60"/>
      <c r="AB716" s="60"/>
      <c r="AC716" s="60"/>
      <c r="AD716" s="73"/>
      <c r="AE716" s="73"/>
      <c r="AF716" s="76"/>
      <c r="AG716" s="60" t="str">
        <f>IFERROR(__xludf.DUMMYFUNCTION("""COMPUTED_VALUE"""),"")</f>
        <v/>
      </c>
    </row>
    <row r="717">
      <c r="A717" s="88" t="str">
        <f>IFERROR(__xludf.DUMMYFUNCTION("""COMPUTED_VALUE"""),"TIOA")</f>
        <v>TIOA</v>
      </c>
      <c r="B717" s="55" t="str">
        <f>IFERROR(__xludf.DUMMYFUNCTION("""COMPUTED_VALUE"""),"Tio Tech A")</f>
        <v>Tio Tech A</v>
      </c>
      <c r="C717" s="56" t="str">
        <f>IFERROR(__xludf.DUMMYFUNCTION("""COMPUTED_VALUE"""),"Searching (Pre Unit Split)")</f>
        <v>Searching (Pre Unit Split)</v>
      </c>
      <c r="D717" s="77" t="str">
        <f>IFERROR(__xludf.DUMMYFUNCTION("""COMPUTED_VALUE"""),"Tech in Europe")</f>
        <v>Tech in Europe</v>
      </c>
      <c r="E717" s="58"/>
      <c r="F717" s="59" t="str">
        <f>IFERROR(__xludf.DUMMYFUNCTION("""COMPUTED_VALUE"""),"Dominik Richter (Founder &amp; CEO of HelloFresh), Victor Jacobsson (Co-founder of Klarna), Thomas Griesel (Co-founder of HelloFresh)")</f>
        <v>Dominik Richter (Founder &amp; CEO of HelloFresh), Victor Jacobsson (Co-founder of Klarna), Thomas Griesel (Co-founder of HelloFresh)</v>
      </c>
      <c r="G717" s="60">
        <f>IFERROR(__xludf.DUMMYFUNCTION("""COMPUTED_VALUE"""),3.0E8)</f>
        <v>300000000</v>
      </c>
      <c r="H717" s="60" t="str">
        <f>IFERROR(__xludf.DUMMYFUNCTION("""COMPUTED_VALUE""")," ")</f>
        <v> </v>
      </c>
      <c r="I717" s="66" t="str">
        <f>IFERROR(__xludf.DUMMYFUNCTION("""COMPUTED_VALUE""")," ")</f>
        <v> </v>
      </c>
      <c r="J717" s="62" t="str">
        <f>IFERROR(__xludf.DUMMYFUNCTION("""COMPUTED_VALUE""")," ")</f>
        <v> </v>
      </c>
      <c r="K717" s="59">
        <f>IFERROR(__xludf.DUMMYFUNCTION("""COMPUTED_VALUE"""),10.0)</f>
        <v>10</v>
      </c>
      <c r="L717" s="87" t="str">
        <f>IFERROR(__xludf.DUMMYFUNCTION("""COMPUTED_VALUE""")," ")</f>
        <v> </v>
      </c>
      <c r="M717" s="64" t="str">
        <f>IFERROR(__xludf.DUMMYFUNCTION("""COMPUTED_VALUE"""),"U: [1/3 W]; W: [1:1, $11.5]")</f>
        <v>U: [1/3 W]; W: [1:1, $11.5]</v>
      </c>
      <c r="N717" s="65">
        <f>IFERROR(__xludf.DUMMYFUNCTION("""COMPUTED_VALUE"""),44346.0)</f>
        <v>44346</v>
      </c>
      <c r="O717" s="66">
        <f>IFERROR(__xludf.DUMMYFUNCTION("""COMPUTED_VALUE"""),0.0)</f>
        <v>0</v>
      </c>
      <c r="P717" s="67">
        <f>IFERROR(__xludf.DUMMYFUNCTION("""COMPUTED_VALUE"""),44294.0)</f>
        <v>44294</v>
      </c>
      <c r="Q717" s="68">
        <f>IFERROR(__xludf.DUMMYFUNCTION("""COMPUTED_VALUE"""),300.0)</f>
        <v>300</v>
      </c>
      <c r="R717" s="69" t="str">
        <f>IFERROR(__xludf.DUMMYFUNCTION("""COMPUTED_VALUE"""),"Deutsche Bank Securities")</f>
        <v>Deutsche Bank Securities</v>
      </c>
      <c r="S717" s="64">
        <f>IFERROR(__xludf.DUMMYFUNCTION("""COMPUTED_VALUE"""),45024.0)</f>
        <v>45024</v>
      </c>
      <c r="T717" s="70">
        <f>IFERROR(__xludf.DUMMYFUNCTION("""COMPUTED_VALUE"""),0.0027397260273972603)</f>
        <v>0.002739726027</v>
      </c>
      <c r="U717" s="71" t="str">
        <f>IFERROR(__xludf.DUMMYFUNCTION("""COMPUTED_VALUE"""),"https://www.sec.gov/cgi-bin/browse-edgar?CIK=1846163")</f>
        <v>https://www.sec.gov/cgi-bin/browse-edgar?CIK=1846163</v>
      </c>
      <c r="V717" s="72" t="str">
        <f>IFERROR(__xludf.DUMMYFUNCTION("""COMPUTED_VALUE"""),"  Recent IPO       Well-known Sponsor   ")</f>
        <v>  Recent IPO       Well-known Sponsor   </v>
      </c>
      <c r="W717" s="73"/>
      <c r="X717" s="74"/>
      <c r="Y717" s="75"/>
      <c r="Z717" s="60"/>
      <c r="AA717" s="60"/>
      <c r="AB717" s="60"/>
      <c r="AC717" s="60"/>
      <c r="AD717" s="73"/>
      <c r="AE717" s="73"/>
      <c r="AF717" s="76"/>
      <c r="AG717" s="60"/>
    </row>
    <row r="718">
      <c r="A718" s="54" t="str">
        <f>IFERROR(__xludf.DUMMYFUNCTION("""COMPUTED_VALUE"""),"TLGA")</f>
        <v>TLGA</v>
      </c>
      <c r="B718" s="55" t="str">
        <f>IFERROR(__xludf.DUMMYFUNCTION("""COMPUTED_VALUE"""),"TLG Acquisition One Corp.")</f>
        <v>TLG Acquisition One Corp.</v>
      </c>
      <c r="C718" s="56" t="str">
        <f>IFERROR(__xludf.DUMMYFUNCTION("""COMPUTED_VALUE"""),"Searching")</f>
        <v>Searching</v>
      </c>
      <c r="D718" s="57" t="str">
        <f>IFERROR(__xludf.DUMMYFUNCTION("""COMPUTED_VALUE"""),"IT, healthcare, business services, financial services, ESG")</f>
        <v>IT, healthcare, business services, financial services, ESG</v>
      </c>
      <c r="E718" s="58"/>
      <c r="F718" s="59" t="str">
        <f>IFERROR(__xludf.DUMMYFUNCTION("""COMPUTED_VALUE"""),"Mike Lawrie (Fmr CEO, DXC Technology; Founder, The Lawrie Group)")</f>
        <v>Mike Lawrie (Fmr CEO, DXC Technology; Founder, The Lawrie Group)</v>
      </c>
      <c r="G718" s="60">
        <f>IFERROR(__xludf.DUMMYFUNCTION("""COMPUTED_VALUE"""),4.0E8)</f>
        <v>400000000</v>
      </c>
      <c r="H718" s="60"/>
      <c r="I718" s="66">
        <f>IFERROR(__xludf.DUMMYFUNCTION("""COMPUTED_VALUE"""),9.74)</f>
        <v>9.74</v>
      </c>
      <c r="J718" s="62">
        <f>IFERROR(__xludf.DUMMYFUNCTION("""COMPUTED_VALUE"""),-0.00103)</f>
        <v>-0.00103</v>
      </c>
      <c r="K718" s="59">
        <f>IFERROR(__xludf.DUMMYFUNCTION("""COMPUTED_VALUE"""),9.975)</f>
        <v>9.975</v>
      </c>
      <c r="L718" s="87">
        <f>IFERROR(__xludf.DUMMYFUNCTION("""COMPUTED_VALUE"""),0.65)</f>
        <v>0.65</v>
      </c>
      <c r="M718" s="64" t="str">
        <f>IFERROR(__xludf.DUMMYFUNCTION("""COMPUTED_VALUE"""),"U: [1/3 W]; W: [1:1, $11.5]")</f>
        <v>U: [1/3 W]; W: [1:1, $11.5]</v>
      </c>
      <c r="N718" s="65">
        <f>IFERROR(__xludf.DUMMYFUNCTION("""COMPUTED_VALUE"""),44277.0)</f>
        <v>44277</v>
      </c>
      <c r="O718" s="66">
        <f>IFERROR(__xludf.DUMMYFUNCTION("""COMPUTED_VALUE"""),0.0)</f>
        <v>0</v>
      </c>
      <c r="P718" s="67">
        <f>IFERROR(__xludf.DUMMYFUNCTION("""COMPUTED_VALUE"""),44223.0)</f>
        <v>44223</v>
      </c>
      <c r="Q718" s="68">
        <f>IFERROR(__xludf.DUMMYFUNCTION("""COMPUTED_VALUE"""),400.0)</f>
        <v>400</v>
      </c>
      <c r="R718" s="69" t="str">
        <f>IFERROR(__xludf.DUMMYFUNCTION("""COMPUTED_VALUE"""),"RBC Capital Markets")</f>
        <v>RBC Capital Markets</v>
      </c>
      <c r="S718" s="64">
        <f>IFERROR(__xludf.DUMMYFUNCTION("""COMPUTED_VALUE"""),44953.0)</f>
        <v>44953</v>
      </c>
      <c r="T718" s="70">
        <f>IFERROR(__xludf.DUMMYFUNCTION("""COMPUTED_VALUE"""),0.1)</f>
        <v>0.1</v>
      </c>
      <c r="U718" s="71" t="str">
        <f>IFERROR(__xludf.DUMMYFUNCTION("""COMPUTED_VALUE"""),"https://www.sec.gov/cgi-bin/browse-edgar?CIK=1827871")</f>
        <v>https://www.sec.gov/cgi-bin/browse-edgar?CIK=1827871</v>
      </c>
      <c r="V718" s="72" t="str">
        <f>IFERROR(__xludf.DUMMYFUNCTION("""COMPUTED_VALUE""")," Trading Below $10 (Common)           ")</f>
        <v> Trading Below $10 (Common)           </v>
      </c>
      <c r="W718" s="73"/>
      <c r="X718" s="74"/>
      <c r="Y718" s="75"/>
      <c r="Z718" s="60"/>
      <c r="AA718" s="60"/>
      <c r="AB718" s="60"/>
      <c r="AC718" s="60"/>
      <c r="AD718" s="73"/>
      <c r="AE718" s="73"/>
      <c r="AF718" s="76"/>
      <c r="AG718" s="60" t="str">
        <f>IFERROR(__xludf.DUMMYFUNCTION("""COMPUTED_VALUE"""),"")</f>
        <v/>
      </c>
    </row>
    <row r="719">
      <c r="A719" s="54" t="str">
        <f>IFERROR(__xludf.DUMMYFUNCTION("""COMPUTED_VALUE"""),"TMAC")</f>
        <v>TMAC</v>
      </c>
      <c r="B719" s="55" t="str">
        <f>IFERROR(__xludf.DUMMYFUNCTION("""COMPUTED_VALUE"""),"The Music Acquisition Corporation")</f>
        <v>The Music Acquisition Corporation</v>
      </c>
      <c r="C719" s="56" t="str">
        <f>IFERROR(__xludf.DUMMYFUNCTION("""COMPUTED_VALUE"""),"Searching")</f>
        <v>Searching</v>
      </c>
      <c r="D719" s="57" t="str">
        <f>IFERROR(__xludf.DUMMYFUNCTION("""COMPUTED_VALUE"""),"Music")</f>
        <v>Music</v>
      </c>
      <c r="E719" s="58"/>
      <c r="F719" s="59" t="str">
        <f>IFERROR(__xludf.DUMMYFUNCTION("""COMPUTED_VALUE"""),"Neil Jacobson (Fmr President, Geffen Records), Ben Silverman (Co-CEO, Propagate Content; Fmr Co-Chairman, NBC Entertainment and Universal Studios)")</f>
        <v>Neil Jacobson (Fmr President, Geffen Records), Ben Silverman (Co-CEO, Propagate Content; Fmr Co-Chairman, NBC Entertainment and Universal Studios)</v>
      </c>
      <c r="G719" s="60">
        <f>IFERROR(__xludf.DUMMYFUNCTION("""COMPUTED_VALUE"""),2.3E8)</f>
        <v>230000000</v>
      </c>
      <c r="H719" s="60"/>
      <c r="I719" s="66">
        <f>IFERROR(__xludf.DUMMYFUNCTION("""COMPUTED_VALUE"""),9.65)</f>
        <v>9.65</v>
      </c>
      <c r="J719" s="62">
        <f>IFERROR(__xludf.DUMMYFUNCTION("""COMPUTED_VALUE"""),-0.0213)</f>
        <v>-0.0213</v>
      </c>
      <c r="K719" s="59">
        <f>IFERROR(__xludf.DUMMYFUNCTION("""COMPUTED_VALUE"""),10.0165)</f>
        <v>10.0165</v>
      </c>
      <c r="L719" s="87">
        <f>IFERROR(__xludf.DUMMYFUNCTION("""COMPUTED_VALUE"""),0.7)</f>
        <v>0.7</v>
      </c>
      <c r="M719" s="64" t="str">
        <f>IFERROR(__xludf.DUMMYFUNCTION("""COMPUTED_VALUE"""),"U: [1/2 W]; W: [1:1, $11.5]")</f>
        <v>U: [1/2 W]; W: [1:1, $11.5]</v>
      </c>
      <c r="N719" s="65" t="str">
        <f>IFERROR(__xludf.DUMMYFUNCTION("""COMPUTED_VALUE"""),"")</f>
        <v/>
      </c>
      <c r="O719" s="66">
        <f>IFERROR(__xludf.DUMMYFUNCTION("""COMPUTED_VALUE"""),0.0)</f>
        <v>0</v>
      </c>
      <c r="P719" s="67">
        <f>IFERROR(__xludf.DUMMYFUNCTION("""COMPUTED_VALUE"""),44229.0)</f>
        <v>44229</v>
      </c>
      <c r="Q719" s="68">
        <f>IFERROR(__xludf.DUMMYFUNCTION("""COMPUTED_VALUE"""),230.0)</f>
        <v>230</v>
      </c>
      <c r="R719" s="69" t="str">
        <f>IFERROR(__xludf.DUMMYFUNCTION("""COMPUTED_VALUE"""),"Citigroup, Cantor")</f>
        <v>Citigroup, Cantor</v>
      </c>
      <c r="S719" s="64">
        <f>IFERROR(__xludf.DUMMYFUNCTION("""COMPUTED_VALUE"""),44959.0)</f>
        <v>44959</v>
      </c>
      <c r="T719" s="70">
        <f>IFERROR(__xludf.DUMMYFUNCTION("""COMPUTED_VALUE"""),0.09178082191780822)</f>
        <v>0.09178082192</v>
      </c>
      <c r="U719" s="71" t="str">
        <f>IFERROR(__xludf.DUMMYFUNCTION("""COMPUTED_VALUE"""),"https://www.sec.gov/cgi-bin/browse-edgar?CIK=1835236")</f>
        <v>https://www.sec.gov/cgi-bin/browse-edgar?CIK=1835236</v>
      </c>
      <c r="V719" s="72" t="str">
        <f>IFERROR(__xludf.DUMMYFUNCTION("""COMPUTED_VALUE""")," Trading Below $10 (Common)        Well-known Sponsor  Top Tier UW ")</f>
        <v> Trading Below $10 (Common)        Well-known Sponsor  Top Tier UW </v>
      </c>
      <c r="W719" s="73"/>
      <c r="X719" s="74"/>
      <c r="Y719" s="75"/>
      <c r="Z719" s="60"/>
      <c r="AA719" s="60"/>
      <c r="AB719" s="60"/>
      <c r="AC719" s="60"/>
      <c r="AD719" s="73"/>
      <c r="AE719" s="73"/>
      <c r="AF719" s="76"/>
      <c r="AG719" s="60" t="str">
        <f>IFERROR(__xludf.DUMMYFUNCTION("""COMPUTED_VALUE"""),"")</f>
        <v/>
      </c>
    </row>
    <row r="720">
      <c r="A720" s="54" t="str">
        <f>IFERROR(__xludf.DUMMYFUNCTION("""COMPUTED_VALUE"""),"TMKR")</f>
        <v>TMKR</v>
      </c>
      <c r="B720" s="55" t="str">
        <f>IFERROR(__xludf.DUMMYFUNCTION("""COMPUTED_VALUE"""),"Tastemaker Acquisition Corp.")</f>
        <v>Tastemaker Acquisition Corp.</v>
      </c>
      <c r="C720" s="56" t="str">
        <f>IFERROR(__xludf.DUMMYFUNCTION("""COMPUTED_VALUE"""),"Searching")</f>
        <v>Searching</v>
      </c>
      <c r="D720" s="57" t="str">
        <f>IFERROR(__xludf.DUMMYFUNCTION("""COMPUTED_VALUE"""),"Restaurant, Hospitality")</f>
        <v>Restaurant, Hospitality</v>
      </c>
      <c r="E720" s="58"/>
      <c r="F720" s="59" t="str">
        <f>IFERROR(__xludf.DUMMYFUNCTION("""COMPUTED_VALUE"""),"Dave Pace (Chairman, Red Robin; Fmr CEO, Jamba), Andy Pforzheimer (Co-founder, Barcelona &amp; Bartaco; Director, US Foods Holdings), Rick Federico (Director, Domino's Pizza; Fmr CEO, P.F. Chang's), Starlette Johnson (President, Lucky Strike Entertainment)")</f>
        <v>Dave Pace (Chairman, Red Robin; Fmr CEO, Jamba), Andy Pforzheimer (Co-founder, Barcelona &amp; Bartaco; Director, US Foods Holdings), Rick Federico (Director, Domino's Pizza; Fmr CEO, P.F. Chang's), Starlette Johnson (President, Lucky Strike Entertainment)</v>
      </c>
      <c r="G720" s="60">
        <f>IFERROR(__xludf.DUMMYFUNCTION("""COMPUTED_VALUE"""),2.76E8)</f>
        <v>276000000</v>
      </c>
      <c r="H720" s="60">
        <f>IFERROR(__xludf.DUMMYFUNCTION("""COMPUTED_VALUE"""),2.691E8)</f>
        <v>269100000</v>
      </c>
      <c r="I720" s="66">
        <f>IFERROR(__xludf.DUMMYFUNCTION("""COMPUTED_VALUE"""),9.75)</f>
        <v>9.75</v>
      </c>
      <c r="J720" s="62">
        <f>IFERROR(__xludf.DUMMYFUNCTION("""COMPUTED_VALUE"""),-0.00814)</f>
        <v>-0.00814</v>
      </c>
      <c r="K720" s="59">
        <f>IFERROR(__xludf.DUMMYFUNCTION("""COMPUTED_VALUE"""),10.09)</f>
        <v>10.09</v>
      </c>
      <c r="L720" s="87">
        <f>IFERROR(__xludf.DUMMYFUNCTION("""COMPUTED_VALUE"""),0.7839)</f>
        <v>0.7839</v>
      </c>
      <c r="M720" s="64" t="str">
        <f>IFERROR(__xludf.DUMMYFUNCTION("""COMPUTED_VALUE"""),"U: [1/2 W]; W: [1:1, $11.5]")</f>
        <v>U: [1/2 W]; W: [1:1, $11.5]</v>
      </c>
      <c r="N720" s="65" t="str">
        <f>IFERROR(__xludf.DUMMYFUNCTION("""COMPUTED_VALUE"""),"")</f>
        <v/>
      </c>
      <c r="O720" s="66">
        <f>IFERROR(__xludf.DUMMYFUNCTION("""COMPUTED_VALUE"""),0.0)</f>
        <v>0</v>
      </c>
      <c r="P720" s="67">
        <f>IFERROR(__xludf.DUMMYFUNCTION("""COMPUTED_VALUE"""),44204.0)</f>
        <v>44204</v>
      </c>
      <c r="Q720" s="68">
        <f>IFERROR(__xludf.DUMMYFUNCTION("""COMPUTED_VALUE"""),276.0)</f>
        <v>276</v>
      </c>
      <c r="R720" s="69" t="str">
        <f>IFERROR(__xludf.DUMMYFUNCTION("""COMPUTED_VALUE"""),"Stifel")</f>
        <v>Stifel</v>
      </c>
      <c r="S720" s="64">
        <f>IFERROR(__xludf.DUMMYFUNCTION("""COMPUTED_VALUE"""),44934.0)</f>
        <v>44934</v>
      </c>
      <c r="T720" s="70">
        <f>IFERROR(__xludf.DUMMYFUNCTION("""COMPUTED_VALUE"""),0.12602739726027398)</f>
        <v>0.1260273973</v>
      </c>
      <c r="U720" s="71" t="str">
        <f>IFERROR(__xludf.DUMMYFUNCTION("""COMPUTED_VALUE"""),"https://www.sec.gov/cgi-bin/browse-edgar?CIK=1821606")</f>
        <v>https://www.sec.gov/cgi-bin/browse-edgar?CIK=1821606</v>
      </c>
      <c r="V720" s="72" t="str">
        <f>IFERROR(__xludf.DUMMYFUNCTION("""COMPUTED_VALUE""")," Trading Below $10 (Common)           ")</f>
        <v> Trading Below $10 (Common)           </v>
      </c>
      <c r="W720" s="73"/>
      <c r="X720" s="74"/>
      <c r="Y720" s="75"/>
      <c r="Z720" s="60"/>
      <c r="AA720" s="60"/>
      <c r="AB720" s="60"/>
      <c r="AC720" s="60"/>
      <c r="AD720" s="73"/>
      <c r="AE720" s="73"/>
      <c r="AF720" s="76"/>
      <c r="AG720" s="60" t="str">
        <f>IFERROR(__xludf.DUMMYFUNCTION("""COMPUTED_VALUE"""),"")</f>
        <v/>
      </c>
    </row>
    <row r="721">
      <c r="A721" s="54" t="str">
        <f>IFERROR(__xludf.DUMMYFUNCTION("""COMPUTED_VALUE"""),"TMPM")</f>
        <v>TMPM</v>
      </c>
      <c r="B721" s="55" t="str">
        <f>IFERROR(__xludf.DUMMYFUNCTION("""COMPUTED_VALUE"""),"Turmeric Acquisition Corp")</f>
        <v>Turmeric Acquisition Corp</v>
      </c>
      <c r="C721" s="56" t="str">
        <f>IFERROR(__xludf.DUMMYFUNCTION("""COMPUTED_VALUE"""),"Searching")</f>
        <v>Searching</v>
      </c>
      <c r="D721" s="57" t="str">
        <f>IFERROR(__xludf.DUMMYFUNCTION("""COMPUTED_VALUE"""),"Biotech (emphasis on oncology &amp; rare disease therapeutics)")</f>
        <v>Biotech (emphasis on oncology &amp; rare disease therapeutics)</v>
      </c>
      <c r="E721" s="58"/>
      <c r="F721" s="59"/>
      <c r="G721" s="60">
        <f>IFERROR(__xludf.DUMMYFUNCTION("""COMPUTED_VALUE"""),9.775079E7)</f>
        <v>97750790</v>
      </c>
      <c r="H721" s="60">
        <f>IFERROR(__xludf.DUMMYFUNCTION("""COMPUTED_VALUE"""),1.0108976E8)</f>
        <v>101089760</v>
      </c>
      <c r="I721" s="66">
        <f>IFERROR(__xludf.DUMMYFUNCTION("""COMPUTED_VALUE"""),9.92)</f>
        <v>9.92</v>
      </c>
      <c r="J721" s="62">
        <f>IFERROR(__xludf.DUMMYFUNCTION("""COMPUTED_VALUE"""),0.00101)</f>
        <v>0.00101</v>
      </c>
      <c r="K721" s="59">
        <f>IFERROR(__xludf.DUMMYFUNCTION("""COMPUTED_VALUE"""),10.05)</f>
        <v>10.05</v>
      </c>
      <c r="L721" s="87">
        <f>IFERROR(__xludf.DUMMYFUNCTION("""COMPUTED_VALUE"""),0.9691)</f>
        <v>0.9691</v>
      </c>
      <c r="M721" s="64" t="str">
        <f>IFERROR(__xludf.DUMMYFUNCTION("""COMPUTED_VALUE"""),"U: [1/3 W]; W: [1:1, $11.5]")</f>
        <v>U: [1/3 W]; W: [1:1, $11.5]</v>
      </c>
      <c r="N721" s="65" t="str">
        <f>IFERROR(__xludf.DUMMYFUNCTION("""COMPUTED_VALUE"""),"")</f>
        <v/>
      </c>
      <c r="O721" s="66">
        <f>IFERROR(__xludf.DUMMYFUNCTION("""COMPUTED_VALUE"""),0.0)</f>
        <v>0</v>
      </c>
      <c r="P721" s="67">
        <f>IFERROR(__xludf.DUMMYFUNCTION("""COMPUTED_VALUE"""),44119.0)</f>
        <v>44119</v>
      </c>
      <c r="Q721" s="68">
        <f>IFERROR(__xludf.DUMMYFUNCTION("""COMPUTED_VALUE"""),97.8)</f>
        <v>97.8</v>
      </c>
      <c r="R721" s="69" t="str">
        <f>IFERROR(__xludf.DUMMYFUNCTION("""COMPUTED_VALUE"""),"Credit Suisse, JMP Securities")</f>
        <v>Credit Suisse, JMP Securities</v>
      </c>
      <c r="S721" s="64">
        <f>IFERROR(__xludf.DUMMYFUNCTION("""COMPUTED_VALUE"""),44849.0)</f>
        <v>44849</v>
      </c>
      <c r="T721" s="70">
        <f>IFERROR(__xludf.DUMMYFUNCTION("""COMPUTED_VALUE"""),0.24246575342465754)</f>
        <v>0.2424657534</v>
      </c>
      <c r="U721" s="71" t="str">
        <f>IFERROR(__xludf.DUMMYFUNCTION("""COMPUTED_VALUE"""),"https://www.sec.gov/cgi-bin/browse-edgar?CIK=1823524")</f>
        <v>https://www.sec.gov/cgi-bin/browse-edgar?CIK=1823524</v>
      </c>
      <c r="V721" s="72" t="str">
        <f>IFERROR(__xludf.DUMMYFUNCTION("""COMPUTED_VALUE""")," Trading Below $10 (Common)           ")</f>
        <v> Trading Below $10 (Common)           </v>
      </c>
      <c r="W721" s="73"/>
      <c r="X721" s="74"/>
      <c r="Y721" s="75"/>
      <c r="Z721" s="60"/>
      <c r="AA721" s="60"/>
      <c r="AB721" s="60"/>
      <c r="AC721" s="60"/>
      <c r="AD721" s="73"/>
      <c r="AE721" s="73"/>
      <c r="AF721" s="76"/>
      <c r="AG721" s="60" t="str">
        <f>IFERROR(__xludf.DUMMYFUNCTION("""COMPUTED_VALUE"""),"")</f>
        <v/>
      </c>
    </row>
    <row r="722">
      <c r="A722" s="54" t="str">
        <f>IFERROR(__xludf.DUMMYFUNCTION("""COMPUTED_VALUE"""),"TMTS")</f>
        <v>TMTS</v>
      </c>
      <c r="B722" s="55" t="str">
        <f>IFERROR(__xludf.DUMMYFUNCTION("""COMPUTED_VALUE"""),"Spartacus Acquisition Corporation")</f>
        <v>Spartacus Acquisition Corporation</v>
      </c>
      <c r="C722" s="56" t="str">
        <f>IFERROR(__xludf.DUMMYFUNCTION("""COMPUTED_VALUE"""),"Searching")</f>
        <v>Searching</v>
      </c>
      <c r="D722" s="57" t="str">
        <f>IFERROR(__xludf.DUMMYFUNCTION("""COMPUTED_VALUE"""),"TMT (Telecom, Media, Tech)")</f>
        <v>TMT (Telecom, Media, Tech)</v>
      </c>
      <c r="E722" s="58"/>
      <c r="F722" s="59"/>
      <c r="G722" s="60">
        <f>IFERROR(__xludf.DUMMYFUNCTION("""COMPUTED_VALUE"""),2.03E8)</f>
        <v>203000000</v>
      </c>
      <c r="H722" s="60">
        <f>IFERROR(__xludf.DUMMYFUNCTION("""COMPUTED_VALUE"""),1.992E8)</f>
        <v>199200000</v>
      </c>
      <c r="I722" s="66">
        <f>IFERROR(__xludf.DUMMYFUNCTION("""COMPUTED_VALUE"""),9.96)</f>
        <v>9.96</v>
      </c>
      <c r="J722" s="62">
        <f>IFERROR(__xludf.DUMMYFUNCTION("""COMPUTED_VALUE"""),0.00505)</f>
        <v>0.00505</v>
      </c>
      <c r="K722" s="59">
        <f>IFERROR(__xludf.DUMMYFUNCTION("""COMPUTED_VALUE"""),10.24)</f>
        <v>10.24</v>
      </c>
      <c r="L722" s="87">
        <f>IFERROR(__xludf.DUMMYFUNCTION("""COMPUTED_VALUE"""),0.76)</f>
        <v>0.76</v>
      </c>
      <c r="M722" s="64" t="str">
        <f>IFERROR(__xludf.DUMMYFUNCTION("""COMPUTED_VALUE"""),"U: [1/2 W]; W: [1:1, $11.5]")</f>
        <v>U: [1/2 W]; W: [1:1, $11.5]</v>
      </c>
      <c r="N722" s="65" t="str">
        <f>IFERROR(__xludf.DUMMYFUNCTION("""COMPUTED_VALUE"""),"")</f>
        <v/>
      </c>
      <c r="O722" s="66">
        <f>IFERROR(__xludf.DUMMYFUNCTION("""COMPUTED_VALUE"""),0.0)</f>
        <v>0</v>
      </c>
      <c r="P722" s="67">
        <f>IFERROR(__xludf.DUMMYFUNCTION("""COMPUTED_VALUE"""),44119.0)</f>
        <v>44119</v>
      </c>
      <c r="Q722" s="68">
        <f>IFERROR(__xludf.DUMMYFUNCTION("""COMPUTED_VALUE"""),203.0)</f>
        <v>203</v>
      </c>
      <c r="R722" s="69" t="str">
        <f>IFERROR(__xludf.DUMMYFUNCTION("""COMPUTED_VALUE"""),"B. Riley")</f>
        <v>B. Riley</v>
      </c>
      <c r="S722" s="64">
        <f>IFERROR(__xludf.DUMMYFUNCTION("""COMPUTED_VALUE"""),44666.5)</f>
        <v>44666.5</v>
      </c>
      <c r="T722" s="70">
        <f>IFERROR(__xludf.DUMMYFUNCTION("""COMPUTED_VALUE"""),0.3232876712328767)</f>
        <v>0.3232876712</v>
      </c>
      <c r="U722" s="71" t="str">
        <f>IFERROR(__xludf.DUMMYFUNCTION("""COMPUTED_VALUE"""),"https://www.sec.gov/cgi-bin/browse-edgar?CIK=1822553")</f>
        <v>https://www.sec.gov/cgi-bin/browse-edgar?CIK=1822553</v>
      </c>
      <c r="V722" s="72" t="str">
        <f>IFERROR(__xludf.DUMMYFUNCTION("""COMPUTED_VALUE""")," Trading Below $10 (Common)           ")</f>
        <v> Trading Below $10 (Common)           </v>
      </c>
      <c r="W722" s="73"/>
      <c r="X722" s="74"/>
      <c r="Y722" s="75"/>
      <c r="Z722" s="60"/>
      <c r="AA722" s="60"/>
      <c r="AB722" s="60"/>
      <c r="AC722" s="60"/>
      <c r="AD722" s="73"/>
      <c r="AE722" s="73"/>
      <c r="AF722" s="76"/>
      <c r="AG722" s="60" t="str">
        <f>IFERROR(__xludf.DUMMYFUNCTION("""COMPUTED_VALUE"""),"")</f>
        <v/>
      </c>
    </row>
    <row r="723">
      <c r="A723" s="88" t="str">
        <f>IFERROR(__xludf.DUMMYFUNCTION("""COMPUTED_VALUE"""),"TPBA")</f>
        <v>TPBA</v>
      </c>
      <c r="B723" s="55" t="str">
        <f>IFERROR(__xludf.DUMMYFUNCTION("""COMPUTED_VALUE"""),"TPB Acquisition Corp I")</f>
        <v>TPB Acquisition Corp I</v>
      </c>
      <c r="C723" s="56" t="str">
        <f>IFERROR(__xludf.DUMMYFUNCTION("""COMPUTED_VALUE"""),"Pre IPO")</f>
        <v>Pre IPO</v>
      </c>
      <c r="D723" s="77" t="str">
        <f>IFERROR(__xludf.DUMMYFUNCTION("""COMPUTED_VALUE"""),"The Production Board (TPB) or TPB portfolio company &amp; a company in Sustainability (Food, Ag, Biomanufacturing, Life Sciences)")</f>
        <v>The Production Board (TPB) or TPB portfolio company &amp; a company in Sustainability (Food, Ag, Biomanufacturing, Life Sciences)</v>
      </c>
      <c r="E723" s="58"/>
      <c r="F723" s="59" t="str">
        <f>IFERROR(__xludf.DUMMYFUNCTION("""COMPUTED_VALUE"""),"David Friedberg (Founder/Chairman, Metromile; Founder, The CIimate Corporation), Bharat Vasan (Fmr COO, August Home), Dr. Neil Renninger (Co-founder/Co-CEO, Ripple Foods), Kerry Cooper (Fmr COO, Rothey’s; Fmr CMO, Walmart.com), April Underwood (Director, "&amp;"Zillow)")</f>
        <v>David Friedberg (Founder/Chairman, Metromile; Founder, The CIimate Corporation), Bharat Vasan (Fmr COO, August Home), Dr. Neil Renninger (Co-founder/Co-CEO, Ripple Foods), Kerry Cooper (Fmr COO, Rothey’s; Fmr CMO, Walmart.com), April Underwood (Director, Zillow)</v>
      </c>
      <c r="G723" s="60">
        <f>IFERROR(__xludf.DUMMYFUNCTION("""COMPUTED_VALUE"""),2.5E8)</f>
        <v>250000000</v>
      </c>
      <c r="H723" s="60" t="str">
        <f>IFERROR(__xludf.DUMMYFUNCTION("""COMPUTED_VALUE""")," ")</f>
        <v> </v>
      </c>
      <c r="I723" s="66" t="str">
        <f>IFERROR(__xludf.DUMMYFUNCTION("""COMPUTED_VALUE""")," ")</f>
        <v> </v>
      </c>
      <c r="J723" s="62" t="str">
        <f>IFERROR(__xludf.DUMMYFUNCTION("""COMPUTED_VALUE""")," ")</f>
        <v> </v>
      </c>
      <c r="K723" s="59" t="str">
        <f>IFERROR(__xludf.DUMMYFUNCTION("""COMPUTED_VALUE""")," ")</f>
        <v> </v>
      </c>
      <c r="L723" s="87" t="str">
        <f>IFERROR(__xludf.DUMMYFUNCTION("""COMPUTED_VALUE""")," ")</f>
        <v> </v>
      </c>
      <c r="M723" s="64" t="str">
        <f>IFERROR(__xludf.DUMMYFUNCTION("""COMPUTED_VALUE"""),"U: [1/4 W]; W: [1:1, $11.5]")</f>
        <v>U: [1/4 W]; W: [1:1, $11.5]</v>
      </c>
      <c r="N723" s="65" t="str">
        <f>IFERROR(__xludf.DUMMYFUNCTION("""COMPUTED_VALUE"""),"")</f>
        <v/>
      </c>
      <c r="O723" s="66" t="str">
        <f>IFERROR(__xludf.DUMMYFUNCTION("""COMPUTED_VALUE"""),"")</f>
        <v/>
      </c>
      <c r="P723" s="67"/>
      <c r="Q723" s="68">
        <f>IFERROR(__xludf.DUMMYFUNCTION("""COMPUTED_VALUE"""),250.0)</f>
        <v>250</v>
      </c>
      <c r="R723" s="69" t="str">
        <f>IFERROR(__xludf.DUMMYFUNCTION("""COMPUTED_VALUE"""),"Barclays, CODE Advisors")</f>
        <v>Barclays, CODE Advisors</v>
      </c>
      <c r="S723" s="64">
        <f>IFERROR(__xludf.DUMMYFUNCTION("""COMPUTED_VALUE"""),45086.0)</f>
        <v>45086</v>
      </c>
      <c r="T723" s="70" t="str">
        <f>IFERROR(__xludf.DUMMYFUNCTION("""COMPUTED_VALUE"""),"")</f>
        <v/>
      </c>
      <c r="U723" s="71" t="str">
        <f>IFERROR(__xludf.DUMMYFUNCTION("""COMPUTED_VALUE"""),"https://www.sec.gov/cgi-bin/browse-edgar?CIK=1847090")</f>
        <v>https://www.sec.gov/cgi-bin/browse-edgar?CIK=1847090</v>
      </c>
      <c r="V723" s="72" t="str">
        <f>IFERROR(__xludf.DUMMYFUNCTION("""COMPUTED_VALUE"""),"         Well-known Sponsor   ")</f>
        <v>         Well-known Sponsor   </v>
      </c>
      <c r="W723" s="73"/>
      <c r="X723" s="74"/>
      <c r="Y723" s="75"/>
      <c r="Z723" s="60"/>
      <c r="AA723" s="60"/>
      <c r="AB723" s="60"/>
      <c r="AC723" s="60"/>
      <c r="AD723" s="73"/>
      <c r="AE723" s="73"/>
      <c r="AF723" s="76"/>
      <c r="AG723" s="60"/>
    </row>
    <row r="724">
      <c r="A724" s="88" t="str">
        <f>IFERROR(__xludf.DUMMYFUNCTION("""COMPUTED_VALUE"""),"TPGS")</f>
        <v>TPGS</v>
      </c>
      <c r="B724" s="55" t="str">
        <f>IFERROR(__xludf.DUMMYFUNCTION("""COMPUTED_VALUE"""),"TPG Pace Solutions Corp.")</f>
        <v>TPG Pace Solutions Corp.</v>
      </c>
      <c r="C724" s="56" t="str">
        <f>IFERROR(__xludf.DUMMYFUNCTION("""COMPUTED_VALUE"""),"Searching")</f>
        <v>Searching</v>
      </c>
      <c r="D724" s="57"/>
      <c r="E724" s="58"/>
      <c r="F724" s="59" t="str">
        <f>IFERROR(__xludf.DUMMYFUNCTION("""COMPUTED_VALUE"""),"Karl Peterson (Senior Partner of TPG and Managing Partner of TPG Pace Group)")</f>
        <v>Karl Peterson (Senior Partner of TPG and Managing Partner of TPG Pace Group)</v>
      </c>
      <c r="G724" s="60">
        <f>IFERROR(__xludf.DUMMYFUNCTION("""COMPUTED_VALUE"""),2.5E8)</f>
        <v>250000000</v>
      </c>
      <c r="H724" s="60"/>
      <c r="I724" s="66">
        <f>IFERROR(__xludf.DUMMYFUNCTION("""COMPUTED_VALUE"""),10.11)</f>
        <v>10.11</v>
      </c>
      <c r="J724" s="62">
        <f>IFERROR(__xludf.DUMMYFUNCTION("""COMPUTED_VALUE"""),0.011)</f>
        <v>0.011</v>
      </c>
      <c r="K724" s="59" t="str">
        <f>IFERROR(__xludf.DUMMYFUNCTION("""COMPUTED_VALUE""")," ")</f>
        <v> </v>
      </c>
      <c r="L724" s="87" t="str">
        <f>IFERROR(__xludf.DUMMYFUNCTION("""COMPUTED_VALUE""")," ")</f>
        <v> </v>
      </c>
      <c r="M724" s="64" t="str">
        <f>IFERROR(__xludf.DUMMYFUNCTION("""COMPUTED_VALUE"""),"U: [No Units]; W: [No Warrants]")</f>
        <v>U: [No Units]; W: [No Warrants]</v>
      </c>
      <c r="N724" s="65" t="str">
        <f>IFERROR(__xludf.DUMMYFUNCTION("""COMPUTED_VALUE"""),"")</f>
        <v/>
      </c>
      <c r="O724" s="66">
        <f>IFERROR(__xludf.DUMMYFUNCTION("""COMPUTED_VALUE"""),0.0)</f>
        <v>0</v>
      </c>
      <c r="P724" s="67">
        <f>IFERROR(__xludf.DUMMYFUNCTION("""COMPUTED_VALUE"""),44294.0)</f>
        <v>44294</v>
      </c>
      <c r="Q724" s="68">
        <f>IFERROR(__xludf.DUMMYFUNCTION("""COMPUTED_VALUE"""),250.0)</f>
        <v>250</v>
      </c>
      <c r="R724" s="69" t="str">
        <f>IFERROR(__xludf.DUMMYFUNCTION("""COMPUTED_VALUE"""),"Deutsche Bank Securities, J.P. Morgan Securities, Goldman Sachs &amp; Co., Northland Securities, Siebert Williams Shank")</f>
        <v>Deutsche Bank Securities, J.P. Morgan Securities, Goldman Sachs &amp; Co., Northland Securities, Siebert Williams Shank</v>
      </c>
      <c r="S724" s="64">
        <f>IFERROR(__xludf.DUMMYFUNCTION("""COMPUTED_VALUE"""),45024.0)</f>
        <v>45024</v>
      </c>
      <c r="T724" s="70">
        <f>IFERROR(__xludf.DUMMYFUNCTION("""COMPUTED_VALUE"""),0.0027397260273972603)</f>
        <v>0.002739726027</v>
      </c>
      <c r="U724" s="71" t="str">
        <f>IFERROR(__xludf.DUMMYFUNCTION("""COMPUTED_VALUE"""),"https://www.sec.gov/cgi-bin/browse-edgar?CIK=1840927")</f>
        <v>https://www.sec.gov/cgi-bin/browse-edgar?CIK=1840927</v>
      </c>
      <c r="V724" s="72" t="str">
        <f>IFERROR(__xludf.DUMMYFUNCTION("""COMPUTED_VALUE"""),"  Recent IPO       Well-known Sponsor Serial Sponsor Top Tier UW Recent Split")</f>
        <v>  Recent IPO       Well-known Sponsor Serial Sponsor Top Tier UW Recent Split</v>
      </c>
      <c r="W724" s="73"/>
      <c r="X724" s="74"/>
      <c r="Y724" s="75"/>
      <c r="Z724" s="60"/>
      <c r="AA724" s="60"/>
      <c r="AB724" s="60"/>
      <c r="AC724" s="60"/>
      <c r="AD724" s="73"/>
      <c r="AE724" s="73"/>
      <c r="AF724" s="76"/>
      <c r="AG724" s="60"/>
    </row>
    <row r="725">
      <c r="A725" s="88" t="str">
        <f>IFERROR(__xludf.DUMMYFUNCTION("""COMPUTED_VALUE"""),"TPGT")</f>
        <v>TPGT</v>
      </c>
      <c r="B725" s="55" t="str">
        <f>IFERROR(__xludf.DUMMYFUNCTION("""COMPUTED_VALUE"""),"TPG Pace Tech Opportunities II. Corp.")</f>
        <v>TPG Pace Tech Opportunities II. Corp.</v>
      </c>
      <c r="C725" s="56" t="str">
        <f>IFERROR(__xludf.DUMMYFUNCTION("""COMPUTED_VALUE"""),"Pre IPO")</f>
        <v>Pre IPO</v>
      </c>
      <c r="D725" s="57" t="str">
        <f>IFERROR(__xludf.DUMMYFUNCTION("""COMPUTED_VALUE"""),"Tech")</f>
        <v>Tech</v>
      </c>
      <c r="E725" s="58"/>
      <c r="F725" s="59" t="str">
        <f>IFERROR(__xludf.DUMMYFUNCTION("""COMPUTED_VALUE"""),"Karl Peterson (Senior Partner of TPG and Managing Partner of TPG Pace Group)")</f>
        <v>Karl Peterson (Senior Partner of TPG and Managing Partner of TPG Pace Group)</v>
      </c>
      <c r="G725" s="60">
        <f>IFERROR(__xludf.DUMMYFUNCTION("""COMPUTED_VALUE"""),4.5E8)</f>
        <v>450000000</v>
      </c>
      <c r="H725" s="60" t="str">
        <f>IFERROR(__xludf.DUMMYFUNCTION("""COMPUTED_VALUE""")," ")</f>
        <v> </v>
      </c>
      <c r="I725" s="66" t="str">
        <f>IFERROR(__xludf.DUMMYFUNCTION("""COMPUTED_VALUE""")," ")</f>
        <v> </v>
      </c>
      <c r="J725" s="62" t="str">
        <f>IFERROR(__xludf.DUMMYFUNCTION("""COMPUTED_VALUE""")," ")</f>
        <v> </v>
      </c>
      <c r="K725" s="59" t="str">
        <f>IFERROR(__xludf.DUMMYFUNCTION("""COMPUTED_VALUE""")," ")</f>
        <v> </v>
      </c>
      <c r="L725" s="87" t="str">
        <f>IFERROR(__xludf.DUMMYFUNCTION("""COMPUTED_VALUE""")," ")</f>
        <v> </v>
      </c>
      <c r="M725" s="64" t="str">
        <f>IFERROR(__xludf.DUMMYFUNCTION("""COMPUTED_VALUE"""),"U: [No Units]; W: [No Warrants]")</f>
        <v>U: [No Units]; W: [No Warrants]</v>
      </c>
      <c r="N725" s="65" t="str">
        <f>IFERROR(__xludf.DUMMYFUNCTION("""COMPUTED_VALUE"""),"")</f>
        <v/>
      </c>
      <c r="O725" s="66">
        <f>IFERROR(__xludf.DUMMYFUNCTION("""COMPUTED_VALUE"""),0.0)</f>
        <v>0</v>
      </c>
      <c r="P725" s="67"/>
      <c r="Q725" s="68">
        <f>IFERROR(__xludf.DUMMYFUNCTION("""COMPUTED_VALUE"""),450.0)</f>
        <v>450</v>
      </c>
      <c r="R725" s="69" t="str">
        <f>IFERROR(__xludf.DUMMYFUNCTION("""COMPUTED_VALUE"""),"Deutsche Bank Securities, J.P. Morgan Securities, Goldman Sachs &amp; Co., Northland Securities, Siebert Williams Shank")</f>
        <v>Deutsche Bank Securities, J.P. Morgan Securities, Goldman Sachs &amp; Co., Northland Securities, Siebert Williams Shank</v>
      </c>
      <c r="S725" s="64">
        <f>IFERROR(__xludf.DUMMYFUNCTION("""COMPUTED_VALUE"""),45086.0)</f>
        <v>45086</v>
      </c>
      <c r="T725" s="70" t="str">
        <f>IFERROR(__xludf.DUMMYFUNCTION("""COMPUTED_VALUE"""),"")</f>
        <v/>
      </c>
      <c r="U725" s="71" t="str">
        <f>IFERROR(__xludf.DUMMYFUNCTION("""COMPUTED_VALUE"""),"https://www.sec.gov/cgi-bin/browse-edgar?CIK=1840926")</f>
        <v>https://www.sec.gov/cgi-bin/browse-edgar?CIK=1840926</v>
      </c>
      <c r="V725" s="72" t="str">
        <f>IFERROR(__xludf.DUMMYFUNCTION("""COMPUTED_VALUE"""),"         Well-known Sponsor Serial Sponsor Top Tier UW ")</f>
        <v>         Well-known Sponsor Serial Sponsor Top Tier UW </v>
      </c>
      <c r="W725" s="73"/>
      <c r="X725" s="74"/>
      <c r="Y725" s="75"/>
      <c r="Z725" s="60"/>
      <c r="AA725" s="60"/>
      <c r="AB725" s="60"/>
      <c r="AC725" s="60"/>
      <c r="AD725" s="73"/>
      <c r="AE725" s="73"/>
      <c r="AF725" s="76"/>
      <c r="AG725" s="60"/>
    </row>
    <row r="726">
      <c r="A726" s="54" t="str">
        <f>IFERROR(__xludf.DUMMYFUNCTION("""COMPUTED_VALUE"""),"TPGY")</f>
        <v>TPGY</v>
      </c>
      <c r="B726" s="55" t="str">
        <f>IFERROR(__xludf.DUMMYFUNCTION("""COMPUTED_VALUE"""),"TPG Pace Beneficial Finance Corp.")</f>
        <v>TPG Pace Beneficial Finance Corp.</v>
      </c>
      <c r="C726" s="56" t="str">
        <f>IFERROR(__xludf.DUMMYFUNCTION("""COMPUTED_VALUE"""),"Definitive Agreement")</f>
        <v>Definitive Agreement</v>
      </c>
      <c r="D726" s="57" t="str">
        <f>IFERROR(__xludf.DUMMYFUNCTION("""COMPUTED_VALUE"""),"Attractive fundamentals with strong ESG, or potential for improved ESG")</f>
        <v>Attractive fundamentals with strong ESG, or potential for improved ESG</v>
      </c>
      <c r="E726" s="58" t="str">
        <f>IFERROR(__xludf.DUMMYFUNCTION("""COMPUTED_VALUE"""),"EVBox Group (subsidiary of ENGIE S.A) [DA: 12/10/20]")</f>
        <v>EVBox Group (subsidiary of ENGIE S.A) [DA: 12/10/20]</v>
      </c>
      <c r="F726" s="59" t="str">
        <f>IFERROR(__xludf.DUMMYFUNCTION("""COMPUTED_VALUE"""),"TPG, Karl Peterson (Senior Partner of TPG; Managing Partner of TPG Pace Group)")</f>
        <v>TPG, Karl Peterson (Senior Partner of TPG; Managing Partner of TPG Pace Group)</v>
      </c>
      <c r="G726" s="60">
        <f>IFERROR(__xludf.DUMMYFUNCTION("""COMPUTED_VALUE"""),3.50004618E8)</f>
        <v>350004618</v>
      </c>
      <c r="H726" s="60">
        <f>IFERROR(__xludf.DUMMYFUNCTION("""COMPUTED_VALUE"""),6.335E8)</f>
        <v>633500000</v>
      </c>
      <c r="I726" s="66">
        <f>IFERROR(__xludf.DUMMYFUNCTION("""COMPUTED_VALUE"""),18.1)</f>
        <v>18.1</v>
      </c>
      <c r="J726" s="62">
        <f>IFERROR(__xludf.DUMMYFUNCTION("""COMPUTED_VALUE"""),-0.02426)</f>
        <v>-0.02426</v>
      </c>
      <c r="K726" s="59">
        <f>IFERROR(__xludf.DUMMYFUNCTION("""COMPUTED_VALUE"""),19.45)</f>
        <v>19.45</v>
      </c>
      <c r="L726" s="87">
        <f>IFERROR(__xludf.DUMMYFUNCTION("""COMPUTED_VALUE"""),7.0)</f>
        <v>7</v>
      </c>
      <c r="M726" s="64" t="str">
        <f>IFERROR(__xludf.DUMMYFUNCTION("""COMPUTED_VALUE"""),"U: [1/5 W]; W: [1:1, $11.5]")</f>
        <v>U: [1/5 W]; W: [1:1, $11.5]</v>
      </c>
      <c r="N726" s="65" t="str">
        <f>IFERROR(__xludf.DUMMYFUNCTION("""COMPUTED_VALUE"""),"")</f>
        <v/>
      </c>
      <c r="O726" s="66">
        <f>IFERROR(__xludf.DUMMYFUNCTION("""COMPUTED_VALUE"""),6.600000000000001)</f>
        <v>6.6</v>
      </c>
      <c r="P726" s="67">
        <f>IFERROR(__xludf.DUMMYFUNCTION("""COMPUTED_VALUE"""),44110.0)</f>
        <v>44110</v>
      </c>
      <c r="Q726" s="68">
        <f>IFERROR(__xludf.DUMMYFUNCTION("""COMPUTED_VALUE"""),350.0)</f>
        <v>350</v>
      </c>
      <c r="R726" s="69" t="str">
        <f>IFERROR(__xludf.DUMMYFUNCTION("""COMPUTED_VALUE"""),"Deutsche Bank, JP Morgan, Barclays, TPG Capital BD")</f>
        <v>Deutsche Bank, JP Morgan, Barclays, TPG Capital BD</v>
      </c>
      <c r="S726" s="64">
        <f>IFERROR(__xludf.DUMMYFUNCTION("""COMPUTED_VALUE"""),44840.0)</f>
        <v>44840</v>
      </c>
      <c r="T726" s="70">
        <f>IFERROR(__xludf.DUMMYFUNCTION("""COMPUTED_VALUE"""),0.2547945205479452)</f>
        <v>0.2547945205</v>
      </c>
      <c r="U726" s="71" t="str">
        <f>IFERROR(__xludf.DUMMYFUNCTION("""COMPUTED_VALUE"""),"https://www.sec.gov/cgi-bin/browse-edgar?CIK=1819399")</f>
        <v>https://www.sec.gov/cgi-bin/browse-edgar?CIK=1819399</v>
      </c>
      <c r="V726" s="72" t="str">
        <f>IFERROR(__xludf.DUMMYFUNCTION("""COMPUTED_VALUE"""),"E.V., Sustainability, ESG     Optionable    Well-known Sponsor Serial Sponsor Top Tier UW ")</f>
        <v>E.V., Sustainability, ESG     Optionable    Well-known Sponsor Serial Sponsor Top Tier UW </v>
      </c>
      <c r="W726" s="73">
        <f>IFERROR(__xludf.DUMMYFUNCTION("""COMPUTED_VALUE"""),44175.0)</f>
        <v>44175</v>
      </c>
      <c r="X726" s="79">
        <f>IFERROR(__xludf.DUMMYFUNCTION("""COMPUTED_VALUE"""),2.1666666666666665)</f>
        <v>2.166666667</v>
      </c>
      <c r="Y726" s="80" t="str">
        <f>IFERROR(__xludf.DUMMYFUNCTION("""COMPUTED_VALUE"""),"https://www.businesswire.com/news/home/20201210006109/en/")</f>
        <v>https://www.businesswire.com/news/home/20201210006109/en/</v>
      </c>
      <c r="Z726" s="81" t="str">
        <f>IFERROR(__xludf.DUMMYFUNCTION("""COMPUTED_VALUE"""),"https://www.sec.gov/Archives/edgar/data/1819399/000119312520315002/d48425dex992.htm")</f>
        <v>https://www.sec.gov/Archives/edgar/data/1819399/000119312520315002/d48425dex992.htm</v>
      </c>
      <c r="AA726" s="60">
        <f>IFERROR(__xludf.DUMMYFUNCTION("""COMPUTED_VALUE"""),2.25E8)</f>
        <v>225000000</v>
      </c>
      <c r="AB726" s="60">
        <f>IFERROR(__xludf.DUMMYFUNCTION("""COMPUTED_VALUE"""),1.394E9)</f>
        <v>1394000000</v>
      </c>
      <c r="AC726" s="60">
        <f>IFERROR(__xludf.DUMMYFUNCTION("""COMPUTED_VALUE"""),9.69E8)</f>
        <v>969000000</v>
      </c>
      <c r="AD726" s="73"/>
      <c r="AE726" s="73"/>
      <c r="AF726" s="76">
        <f>IFERROR(__xludf.DUMMYFUNCTION("""COMPUTED_VALUE"""),1.394E8)</f>
        <v>139400000</v>
      </c>
      <c r="AG726" s="60">
        <f>IFERROR(__xludf.DUMMYFUNCTION("""COMPUTED_VALUE"""),2.52314E9)</f>
        <v>2523140000</v>
      </c>
    </row>
    <row r="727">
      <c r="A727" s="88" t="str">
        <f>IFERROR(__xludf.DUMMYFUNCTION("""COMPUTED_VALUE"""),"TRAQ")</f>
        <v>TRAQ</v>
      </c>
      <c r="B727" s="55" t="str">
        <f>IFERROR(__xludf.DUMMYFUNCTION("""COMPUTED_VALUE"""),"Trine II Acquisition Corp.")</f>
        <v>Trine II Acquisition Corp.</v>
      </c>
      <c r="C727" s="56" t="str">
        <f>IFERROR(__xludf.DUMMYFUNCTION("""COMPUTED_VALUE"""),"Pre IPO")</f>
        <v>Pre IPO</v>
      </c>
      <c r="D727" s="57" t="str">
        <f>IFERROR(__xludf.DUMMYFUNCTION("""COMPUTED_VALUE"""),"TMT (Telecom, Media, Tech)")</f>
        <v>TMT (Telecom, Media, Tech)</v>
      </c>
      <c r="E727" s="58"/>
      <c r="F727" s="59" t="str">
        <f>IFERROR(__xludf.DUMMYFUNCTION("""COMPUTED_VALUE"""),"Leo Hindery Jr. (Managing Partner, InterMedia Partners; Fmr CEO, AT&amp;T Broadband; Fmr CEO, TCI; and Director, Desktop Metal)")</f>
        <v>Leo Hindery Jr. (Managing Partner, InterMedia Partners; Fmr CEO, AT&amp;T Broadband; Fmr CEO, TCI; and Director, Desktop Metal)</v>
      </c>
      <c r="G727" s="60">
        <f>IFERROR(__xludf.DUMMYFUNCTION("""COMPUTED_VALUE"""),4.25E8)</f>
        <v>425000000</v>
      </c>
      <c r="H727" s="60" t="str">
        <f>IFERROR(__xludf.DUMMYFUNCTION("""COMPUTED_VALUE""")," ")</f>
        <v> </v>
      </c>
      <c r="I727" s="66" t="str">
        <f>IFERROR(__xludf.DUMMYFUNCTION("""COMPUTED_VALUE""")," ")</f>
        <v> </v>
      </c>
      <c r="J727" s="62" t="str">
        <f>IFERROR(__xludf.DUMMYFUNCTION("""COMPUTED_VALUE""")," ")</f>
        <v> </v>
      </c>
      <c r="K727" s="59" t="str">
        <f>IFERROR(__xludf.DUMMYFUNCTION("""COMPUTED_VALUE""")," ")</f>
        <v> </v>
      </c>
      <c r="L727" s="87" t="str">
        <f>IFERROR(__xludf.DUMMYFUNCTION("""COMPUTED_VALUE""")," ")</f>
        <v> </v>
      </c>
      <c r="M727" s="64" t="str">
        <f>IFERROR(__xludf.DUMMYFUNCTION("""COMPUTED_VALUE"""),"U: [1/4 W]; W: [1:1, $11.5]")</f>
        <v>U: [1/4 W]; W: [1:1, $11.5]</v>
      </c>
      <c r="N727" s="65" t="str">
        <f>IFERROR(__xludf.DUMMYFUNCTION("""COMPUTED_VALUE"""),"")</f>
        <v/>
      </c>
      <c r="O727" s="66" t="str">
        <f>IFERROR(__xludf.DUMMYFUNCTION("""COMPUTED_VALUE"""),"")</f>
        <v/>
      </c>
      <c r="P727" s="67"/>
      <c r="Q727" s="68">
        <f>IFERROR(__xludf.DUMMYFUNCTION("""COMPUTED_VALUE"""),425.0)</f>
        <v>425</v>
      </c>
      <c r="R727" s="69" t="str">
        <f>IFERROR(__xludf.DUMMYFUNCTION("""COMPUTED_VALUE"""),"Morgan Stanley")</f>
        <v>Morgan Stanley</v>
      </c>
      <c r="S727" s="64">
        <f>IFERROR(__xludf.DUMMYFUNCTION("""COMPUTED_VALUE"""),45086.0)</f>
        <v>45086</v>
      </c>
      <c r="T727" s="70" t="str">
        <f>IFERROR(__xludf.DUMMYFUNCTION("""COMPUTED_VALUE"""),"")</f>
        <v/>
      </c>
      <c r="U727" s="71" t="str">
        <f>IFERROR(__xludf.DUMMYFUNCTION("""COMPUTED_VALUE"""),"https://www.sec.gov/cgi-bin/browse-edgar?CIK=1841230")</f>
        <v>https://www.sec.gov/cgi-bin/browse-edgar?CIK=1841230</v>
      </c>
      <c r="V727" s="72" t="str">
        <f>IFERROR(__xludf.DUMMYFUNCTION("""COMPUTED_VALUE"""),"         Well-known Sponsor  Top Tier UW ")</f>
        <v>         Well-known Sponsor  Top Tier UW </v>
      </c>
      <c r="W727" s="73"/>
      <c r="X727" s="74"/>
      <c r="Y727" s="75"/>
      <c r="Z727" s="60"/>
      <c r="AA727" s="60"/>
      <c r="AB727" s="60"/>
      <c r="AC727" s="60"/>
      <c r="AD727" s="73"/>
      <c r="AE727" s="73"/>
      <c r="AF727" s="76"/>
      <c r="AG727" s="60"/>
    </row>
    <row r="728">
      <c r="A728" s="54" t="str">
        <f>IFERROR(__xludf.DUMMYFUNCTION("""COMPUTED_VALUE"""),"TRCA")</f>
        <v>TRCA</v>
      </c>
      <c r="B728" s="55" t="str">
        <f>IFERROR(__xludf.DUMMYFUNCTION("""COMPUTED_VALUE"""),"Twin Ridge Capital Acquisition Corp.")</f>
        <v>Twin Ridge Capital Acquisition Corp.</v>
      </c>
      <c r="C728" s="56" t="str">
        <f>IFERROR(__xludf.DUMMYFUNCTION("""COMPUTED_VALUE"""),"Searching (Pre Unit Split)")</f>
        <v>Searching (Pre Unit Split)</v>
      </c>
      <c r="D728" s="57" t="str">
        <f>IFERROR(__xludf.DUMMYFUNCTION("""COMPUTED_VALUE"""),"Consumer, Distribution")</f>
        <v>Consumer, Distribution</v>
      </c>
      <c r="E728" s="58"/>
      <c r="F728" s="59" t="str">
        <f>IFERROR(__xludf.DUMMYFUNCTION("""COMPUTED_VALUE"""),"Dale Morrison (Fouding Partner Twin Ridge Capital; Fmr CEO, McCain Foods; Fmr CEO, Campbell Soup Co)")</f>
        <v>Dale Morrison (Fouding Partner Twin Ridge Capital; Fmr CEO, McCain Foods; Fmr CEO, Campbell Soup Co)</v>
      </c>
      <c r="G728" s="60">
        <f>IFERROR(__xludf.DUMMYFUNCTION("""COMPUTED_VALUE"""),2.0E8)</f>
        <v>200000000</v>
      </c>
      <c r="H728" s="60" t="str">
        <f>IFERROR(__xludf.DUMMYFUNCTION("""COMPUTED_VALUE""")," ")</f>
        <v> </v>
      </c>
      <c r="I728" s="66" t="str">
        <f>IFERROR(__xludf.DUMMYFUNCTION("""COMPUTED_VALUE""")," ")</f>
        <v> </v>
      </c>
      <c r="J728" s="62" t="str">
        <f>IFERROR(__xludf.DUMMYFUNCTION("""COMPUTED_VALUE""")," ")</f>
        <v> </v>
      </c>
      <c r="K728" s="59">
        <f>IFERROR(__xludf.DUMMYFUNCTION("""COMPUTED_VALUE"""),9.95)</f>
        <v>9.95</v>
      </c>
      <c r="L728" s="87" t="str">
        <f>IFERROR(__xludf.DUMMYFUNCTION("""COMPUTED_VALUE""")," ")</f>
        <v> </v>
      </c>
      <c r="M728" s="64" t="str">
        <f>IFERROR(__xludf.DUMMYFUNCTION("""COMPUTED_VALUE"""),"U: [1/3 W]; W: [1:1, $11.5]")</f>
        <v>U: [1/3 W]; W: [1:1, $11.5]</v>
      </c>
      <c r="N728" s="65">
        <f>IFERROR(__xludf.DUMMYFUNCTION("""COMPUTED_VALUE"""),44311.0)</f>
        <v>44311</v>
      </c>
      <c r="O728" s="66" t="str">
        <f>IFERROR(__xludf.DUMMYFUNCTION("""COMPUTED_VALUE"""),"")</f>
        <v/>
      </c>
      <c r="P728" s="67">
        <f>IFERROR(__xludf.DUMMYFUNCTION("""COMPUTED_VALUE"""),44259.0)</f>
        <v>44259</v>
      </c>
      <c r="Q728" s="68">
        <f>IFERROR(__xludf.DUMMYFUNCTION("""COMPUTED_VALUE"""),200.0)</f>
        <v>200</v>
      </c>
      <c r="R728" s="69" t="str">
        <f>IFERROR(__xludf.DUMMYFUNCTION("""COMPUTED_VALUE"""),"Barclays, Evercore ISI")</f>
        <v>Barclays, Evercore ISI</v>
      </c>
      <c r="S728" s="64">
        <f>IFERROR(__xludf.DUMMYFUNCTION("""COMPUTED_VALUE"""),44989.0)</f>
        <v>44989</v>
      </c>
      <c r="T728" s="70">
        <f>IFERROR(__xludf.DUMMYFUNCTION("""COMPUTED_VALUE"""),0.050684931506849315)</f>
        <v>0.05068493151</v>
      </c>
      <c r="U728" s="71" t="str">
        <f>IFERROR(__xludf.DUMMYFUNCTION("""COMPUTED_VALUE"""),"https://www.sec.gov/cgi-bin/browse-edgar?CIK=1840353")</f>
        <v>https://www.sec.gov/cgi-bin/browse-edgar?CIK=1840353</v>
      </c>
      <c r="V728" s="72" t="str">
        <f>IFERROR(__xludf.DUMMYFUNCTION("""COMPUTED_VALUE"""),"            ")</f>
        <v>            </v>
      </c>
      <c r="W728" s="73"/>
      <c r="X728" s="74"/>
      <c r="Y728" s="75"/>
      <c r="Z728" s="60"/>
      <c r="AA728" s="60"/>
      <c r="AB728" s="60"/>
      <c r="AC728" s="60"/>
      <c r="AD728" s="73"/>
      <c r="AE728" s="73"/>
      <c r="AF728" s="76"/>
      <c r="AG728" s="60" t="str">
        <f>IFERROR(__xludf.DUMMYFUNCTION("""COMPUTED_VALUE"""),"")</f>
        <v/>
      </c>
    </row>
    <row r="729">
      <c r="A729" s="54" t="str">
        <f>IFERROR(__xludf.DUMMYFUNCTION("""COMPUTED_VALUE"""),"TREB")</f>
        <v>TREB</v>
      </c>
      <c r="B729" s="55" t="str">
        <f>IFERROR(__xludf.DUMMYFUNCTION("""COMPUTED_VALUE"""),"Trebia Acquisition Corp")</f>
        <v>Trebia Acquisition Corp</v>
      </c>
      <c r="C729" s="56" t="str">
        <f>IFERROR(__xludf.DUMMYFUNCTION("""COMPUTED_VALUE"""),"Searching")</f>
        <v>Searching</v>
      </c>
      <c r="D729" s="57" t="str">
        <f>IFERROR(__xludf.DUMMYFUNCTION("""COMPUTED_VALUE"""),"Financial Services, Tech")</f>
        <v>Financial Services, Tech</v>
      </c>
      <c r="E729" s="58"/>
      <c r="F729" s="59" t="str">
        <f>IFERROR(__xludf.DUMMYFUNCTION("""COMPUTED_VALUE"""),"Bill Foley (Chairman of Fidelity National Financial and Black Knight; Owner of NHL Team: Vegas Golden Knights)")</f>
        <v>Bill Foley (Chairman of Fidelity National Financial and Black Knight; Owner of NHL Team: Vegas Golden Knights)</v>
      </c>
      <c r="G729" s="60">
        <f>IFERROR(__xludf.DUMMYFUNCTION("""COMPUTED_VALUE"""),5.175E8)</f>
        <v>517500000</v>
      </c>
      <c r="H729" s="60">
        <f>IFERROR(__xludf.DUMMYFUNCTION("""COMPUTED_VALUE"""),5.26815E8)</f>
        <v>526815000</v>
      </c>
      <c r="I729" s="66">
        <f>IFERROR(__xludf.DUMMYFUNCTION("""COMPUTED_VALUE"""),10.18)</f>
        <v>10.18</v>
      </c>
      <c r="J729" s="62">
        <f>IFERROR(__xludf.DUMMYFUNCTION("""COMPUTED_VALUE"""),0.00296)</f>
        <v>0.00296</v>
      </c>
      <c r="K729" s="59">
        <f>IFERROR(__xludf.DUMMYFUNCTION("""COMPUTED_VALUE"""),10.5101)</f>
        <v>10.5101</v>
      </c>
      <c r="L729" s="87">
        <f>IFERROR(__xludf.DUMMYFUNCTION("""COMPUTED_VALUE"""),1.56)</f>
        <v>1.56</v>
      </c>
      <c r="M729" s="64" t="str">
        <f>IFERROR(__xludf.DUMMYFUNCTION("""COMPUTED_VALUE"""),"U: [1/3 W]; W: [1:1, $11.5]")</f>
        <v>U: [1/3 W]; W: [1:1, $11.5]</v>
      </c>
      <c r="N729" s="65" t="str">
        <f>IFERROR(__xludf.DUMMYFUNCTION("""COMPUTED_VALUE"""),"")</f>
        <v/>
      </c>
      <c r="O729" s="66">
        <f>IFERROR(__xludf.DUMMYFUNCTION("""COMPUTED_VALUE"""),0.0)</f>
        <v>0</v>
      </c>
      <c r="P729" s="67">
        <f>IFERROR(__xludf.DUMMYFUNCTION("""COMPUTED_VALUE"""),43999.0)</f>
        <v>43999</v>
      </c>
      <c r="Q729" s="68">
        <f>IFERROR(__xludf.DUMMYFUNCTION("""COMPUTED_VALUE"""),517.5)</f>
        <v>517.5</v>
      </c>
      <c r="R729" s="69" t="str">
        <f>IFERROR(__xludf.DUMMYFUNCTION("""COMPUTED_VALUE"""),"Credit Suisse, BofA Securities")</f>
        <v>Credit Suisse, BofA Securities</v>
      </c>
      <c r="S729" s="64">
        <f>IFERROR(__xludf.DUMMYFUNCTION("""COMPUTED_VALUE"""),44729.0)</f>
        <v>44729</v>
      </c>
      <c r="T729" s="70">
        <f>IFERROR(__xludf.DUMMYFUNCTION("""COMPUTED_VALUE"""),0.40684931506849314)</f>
        <v>0.4068493151</v>
      </c>
      <c r="U729" s="71" t="str">
        <f>IFERROR(__xludf.DUMMYFUNCTION("""COMPUTED_VALUE"""),"https://www.sec.gov/cgi-bin/browse-edgar?CIK=1805833")</f>
        <v>https://www.sec.gov/cgi-bin/browse-edgar?CIK=1805833</v>
      </c>
      <c r="V729" s="72" t="str">
        <f>IFERROR(__xludf.DUMMYFUNCTION("""COMPUTED_VALUE"""),"   $500M+ Trust     Well-known Sponsor Serial Sponsor Top Tier UW ")</f>
        <v>   $500M+ Trust     Well-known Sponsor Serial Sponsor Top Tier UW </v>
      </c>
      <c r="W729" s="73"/>
      <c r="X729" s="74"/>
      <c r="Y729" s="75"/>
      <c r="Z729" s="60"/>
      <c r="AA729" s="60"/>
      <c r="AB729" s="60"/>
      <c r="AC729" s="60"/>
      <c r="AD729" s="73"/>
      <c r="AE729" s="73"/>
      <c r="AF729" s="76"/>
      <c r="AG729" s="60" t="str">
        <f>IFERROR(__xludf.DUMMYFUNCTION("""COMPUTED_VALUE"""),"")</f>
        <v/>
      </c>
    </row>
    <row r="730">
      <c r="A730" s="88" t="str">
        <f>IFERROR(__xludf.DUMMYFUNCTION("""COMPUTED_VALUE"""),"TRIS")</f>
        <v>TRIS</v>
      </c>
      <c r="B730" s="55" t="str">
        <f>IFERROR(__xludf.DUMMYFUNCTION("""COMPUTED_VALUE"""),"Tristar Acquisition I Corp.")</f>
        <v>Tristar Acquisition I Corp.</v>
      </c>
      <c r="C730" s="56" t="str">
        <f>IFERROR(__xludf.DUMMYFUNCTION("""COMPUTED_VALUE"""),"Pre IPO")</f>
        <v>Pre IPO</v>
      </c>
      <c r="D730" s="57" t="str">
        <f>IFERROR(__xludf.DUMMYFUNCTION("""COMPUTED_VALUE"""),"Telecom, Tech")</f>
        <v>Telecom, Tech</v>
      </c>
      <c r="E730" s="58"/>
      <c r="F730" s="59"/>
      <c r="G730" s="60">
        <f>IFERROR(__xludf.DUMMYFUNCTION("""COMPUTED_VALUE"""),2.5E8)</f>
        <v>250000000</v>
      </c>
      <c r="H730" s="60" t="str">
        <f>IFERROR(__xludf.DUMMYFUNCTION("""COMPUTED_VALUE""")," ")</f>
        <v> </v>
      </c>
      <c r="I730" s="66" t="str">
        <f>IFERROR(__xludf.DUMMYFUNCTION("""COMPUTED_VALUE""")," ")</f>
        <v> </v>
      </c>
      <c r="J730" s="62" t="str">
        <f>IFERROR(__xludf.DUMMYFUNCTION("""COMPUTED_VALUE""")," ")</f>
        <v> </v>
      </c>
      <c r="K730" s="59" t="str">
        <f>IFERROR(__xludf.DUMMYFUNCTION("""COMPUTED_VALUE""")," ")</f>
        <v> </v>
      </c>
      <c r="L730" s="87" t="str">
        <f>IFERROR(__xludf.DUMMYFUNCTION("""COMPUTED_VALUE""")," ")</f>
        <v> </v>
      </c>
      <c r="M730" s="64" t="str">
        <f>IFERROR(__xludf.DUMMYFUNCTION("""COMPUTED_VALUE"""),"U: [1/3 W]; W: [1:1, $11.5]")</f>
        <v>U: [1/3 W]; W: [1:1, $11.5]</v>
      </c>
      <c r="N730" s="65" t="str">
        <f>IFERROR(__xludf.DUMMYFUNCTION("""COMPUTED_VALUE"""),"")</f>
        <v/>
      </c>
      <c r="O730" s="66">
        <f>IFERROR(__xludf.DUMMYFUNCTION("""COMPUTED_VALUE"""),0.0)</f>
        <v>0</v>
      </c>
      <c r="P730" s="67"/>
      <c r="Q730" s="68">
        <f>IFERROR(__xludf.DUMMYFUNCTION("""COMPUTED_VALUE"""),250.0)</f>
        <v>250</v>
      </c>
      <c r="R730" s="69" t="str">
        <f>IFERROR(__xludf.DUMMYFUNCTION("""COMPUTED_VALUE"""),"Wells Fargo Securities, Loop Capital Markets")</f>
        <v>Wells Fargo Securities, Loop Capital Markets</v>
      </c>
      <c r="S730" s="64">
        <f>IFERROR(__xludf.DUMMYFUNCTION("""COMPUTED_VALUE"""),45086.0)</f>
        <v>45086</v>
      </c>
      <c r="T730" s="70" t="str">
        <f>IFERROR(__xludf.DUMMYFUNCTION("""COMPUTED_VALUE"""),"")</f>
        <v/>
      </c>
      <c r="U730" s="71" t="str">
        <f>IFERROR(__xludf.DUMMYFUNCTION("""COMPUTED_VALUE"""),"https://www.sec.gov/cgi-bin/browse-edgar?CIK=1852736")</f>
        <v>https://www.sec.gov/cgi-bin/browse-edgar?CIK=1852736</v>
      </c>
      <c r="V730" s="72" t="str">
        <f>IFERROR(__xludf.DUMMYFUNCTION("""COMPUTED_VALUE"""),"            ")</f>
        <v>            </v>
      </c>
      <c r="W730" s="73"/>
      <c r="X730" s="74"/>
      <c r="Y730" s="75"/>
      <c r="Z730" s="60"/>
      <c r="AA730" s="60"/>
      <c r="AB730" s="60"/>
      <c r="AC730" s="60"/>
      <c r="AD730" s="73"/>
      <c r="AE730" s="73"/>
      <c r="AF730" s="76"/>
      <c r="AG730" s="60"/>
    </row>
    <row r="731">
      <c r="A731" s="88" t="str">
        <f>IFERROR(__xludf.DUMMYFUNCTION("""COMPUTED_VALUE"""),"TRNY")</f>
        <v>TRNY</v>
      </c>
      <c r="B731" s="55" t="str">
        <f>IFERROR(__xludf.DUMMYFUNCTION("""COMPUTED_VALUE"""),"Trinity Acquisition Corp.")</f>
        <v>Trinity Acquisition Corp.</v>
      </c>
      <c r="C731" s="56" t="str">
        <f>IFERROR(__xludf.DUMMYFUNCTION("""COMPUTED_VALUE"""),"Pre IPO")</f>
        <v>Pre IPO</v>
      </c>
      <c r="D731" s="57" t="str">
        <f>IFERROR(__xludf.DUMMYFUNCTION("""COMPUTED_VALUE"""),"Consumer lifestyle companies with compelling China potential")</f>
        <v>Consumer lifestyle companies with compelling China potential</v>
      </c>
      <c r="E731" s="58"/>
      <c r="F731" s="59" t="str">
        <f>IFERROR(__xludf.DUMMYFUNCTION("""COMPUTED_VALUE"""),"Li Ning (Founder, Exec Chairman, Co-CEO of Li Ning Co; Fmr Chinese Olympic Gymnast)")</f>
        <v>Li Ning (Founder, Exec Chairman, Co-CEO of Li Ning Co; Fmr Chinese Olympic Gymnast)</v>
      </c>
      <c r="G731" s="60">
        <f>IFERROR(__xludf.DUMMYFUNCTION("""COMPUTED_VALUE"""),2.5E8)</f>
        <v>250000000</v>
      </c>
      <c r="H731" s="60" t="str">
        <f>IFERROR(__xludf.DUMMYFUNCTION("""COMPUTED_VALUE""")," ")</f>
        <v> </v>
      </c>
      <c r="I731" s="66" t="str">
        <f>IFERROR(__xludf.DUMMYFUNCTION("""COMPUTED_VALUE""")," ")</f>
        <v> </v>
      </c>
      <c r="J731" s="62" t="str">
        <f>IFERROR(__xludf.DUMMYFUNCTION("""COMPUTED_VALUE""")," ")</f>
        <v> </v>
      </c>
      <c r="K731" s="59" t="str">
        <f>IFERROR(__xludf.DUMMYFUNCTION("""COMPUTED_VALUE""")," ")</f>
        <v> </v>
      </c>
      <c r="L731" s="87" t="str">
        <f>IFERROR(__xludf.DUMMYFUNCTION("""COMPUTED_VALUE""")," ")</f>
        <v> </v>
      </c>
      <c r="M731" s="64" t="str">
        <f>IFERROR(__xludf.DUMMYFUNCTION("""COMPUTED_VALUE"""),"U: [1/3 W]; W: [1:1, $11.5]")</f>
        <v>U: [1/3 W]; W: [1:1, $11.5]</v>
      </c>
      <c r="N731" s="65" t="str">
        <f>IFERROR(__xludf.DUMMYFUNCTION("""COMPUTED_VALUE"""),"")</f>
        <v/>
      </c>
      <c r="O731" s="66">
        <f>IFERROR(__xludf.DUMMYFUNCTION("""COMPUTED_VALUE"""),0.0)</f>
        <v>0</v>
      </c>
      <c r="P731" s="67"/>
      <c r="Q731" s="68">
        <f>IFERROR(__xludf.DUMMYFUNCTION("""COMPUTED_VALUE"""),250.0)</f>
        <v>250</v>
      </c>
      <c r="R731" s="69" t="str">
        <f>IFERROR(__xludf.DUMMYFUNCTION("""COMPUTED_VALUE"""),"Goldman Sachs (Asia) L.L.C.")</f>
        <v>Goldman Sachs (Asia) L.L.C.</v>
      </c>
      <c r="S731" s="64">
        <f>IFERROR(__xludf.DUMMYFUNCTION("""COMPUTED_VALUE"""),45086.0)</f>
        <v>45086</v>
      </c>
      <c r="T731" s="70" t="str">
        <f>IFERROR(__xludf.DUMMYFUNCTION("""COMPUTED_VALUE"""),"")</f>
        <v/>
      </c>
      <c r="U731" s="71" t="str">
        <f>IFERROR(__xludf.DUMMYFUNCTION("""COMPUTED_VALUE"""),"https://www.sec.gov/cgi-bin/browse-edgar?CIK=1844300")</f>
        <v>https://www.sec.gov/cgi-bin/browse-edgar?CIK=1844300</v>
      </c>
      <c r="V731" s="72" t="str">
        <f>IFERROR(__xludf.DUMMYFUNCTION("""COMPUTED_VALUE"""),"         Well-known Sponsor  Top Tier UW ")</f>
        <v>         Well-known Sponsor  Top Tier UW </v>
      </c>
      <c r="W731" s="73"/>
      <c r="X731" s="74"/>
      <c r="Y731" s="75"/>
      <c r="Z731" s="60"/>
      <c r="AA731" s="60"/>
      <c r="AB731" s="60"/>
      <c r="AC731" s="60"/>
      <c r="AD731" s="73"/>
      <c r="AE731" s="73"/>
      <c r="AF731" s="76"/>
      <c r="AG731" s="60"/>
    </row>
    <row r="732">
      <c r="A732" s="88" t="str">
        <f>IFERROR(__xludf.DUMMYFUNCTION("""COMPUTED_VALUE"""),"TRTL")</f>
        <v>TRTL</v>
      </c>
      <c r="B732" s="55" t="str">
        <f>IFERROR(__xludf.DUMMYFUNCTION("""COMPUTED_VALUE"""),"TortoiseEcofin Acquisition Corp. III")</f>
        <v>TortoiseEcofin Acquisition Corp. III</v>
      </c>
      <c r="C732" s="56" t="str">
        <f>IFERROR(__xludf.DUMMYFUNCTION("""COMPUTED_VALUE"""),"Pre IPO")</f>
        <v>Pre IPO</v>
      </c>
      <c r="D732" s="57" t="str">
        <f>IFERROR(__xludf.DUMMYFUNCTION("""COMPUTED_VALUE"""),"Energy Transition, Sustainability")</f>
        <v>Energy Transition, Sustainability</v>
      </c>
      <c r="E732" s="58"/>
      <c r="F732" s="59"/>
      <c r="G732" s="60">
        <f>IFERROR(__xludf.DUMMYFUNCTION("""COMPUTED_VALUE"""),3.0E8)</f>
        <v>300000000</v>
      </c>
      <c r="H732" s="60" t="str">
        <f>IFERROR(__xludf.DUMMYFUNCTION("""COMPUTED_VALUE""")," ")</f>
        <v> </v>
      </c>
      <c r="I732" s="66" t="str">
        <f>IFERROR(__xludf.DUMMYFUNCTION("""COMPUTED_VALUE""")," ")</f>
        <v> </v>
      </c>
      <c r="J732" s="62" t="str">
        <f>IFERROR(__xludf.DUMMYFUNCTION("""COMPUTED_VALUE""")," ")</f>
        <v> </v>
      </c>
      <c r="K732" s="59" t="str">
        <f>IFERROR(__xludf.DUMMYFUNCTION("""COMPUTED_VALUE""")," ")</f>
        <v> </v>
      </c>
      <c r="L732" s="87" t="str">
        <f>IFERROR(__xludf.DUMMYFUNCTION("""COMPUTED_VALUE""")," ")</f>
        <v> </v>
      </c>
      <c r="M732" s="64" t="str">
        <f>IFERROR(__xludf.DUMMYFUNCTION("""COMPUTED_VALUE"""),"U: [No Units]; W: [No Warrants]")</f>
        <v>U: [No Units]; W: [No Warrants]</v>
      </c>
      <c r="N732" s="65" t="str">
        <f>IFERROR(__xludf.DUMMYFUNCTION("""COMPUTED_VALUE"""),"")</f>
        <v/>
      </c>
      <c r="O732" s="66">
        <f>IFERROR(__xludf.DUMMYFUNCTION("""COMPUTED_VALUE"""),0.0)</f>
        <v>0</v>
      </c>
      <c r="P732" s="67"/>
      <c r="Q732" s="68">
        <f>IFERROR(__xludf.DUMMYFUNCTION("""COMPUTED_VALUE"""),300.0)</f>
        <v>300</v>
      </c>
      <c r="R732" s="69" t="str">
        <f>IFERROR(__xludf.DUMMYFUNCTION("""COMPUTED_VALUE"""),"Barclays, Goldman Sachs &amp; Co. LLC")</f>
        <v>Barclays, Goldman Sachs &amp; Co. LLC</v>
      </c>
      <c r="S732" s="64">
        <f>IFERROR(__xludf.DUMMYFUNCTION("""COMPUTED_VALUE"""),45086.0)</f>
        <v>45086</v>
      </c>
      <c r="T732" s="70" t="str">
        <f>IFERROR(__xludf.DUMMYFUNCTION("""COMPUTED_VALUE"""),"")</f>
        <v/>
      </c>
      <c r="U732" s="71" t="str">
        <f>IFERROR(__xludf.DUMMYFUNCTION("""COMPUTED_VALUE"""),"https://www.sec.gov/cgi-bin/browse-edgar?CIK=1847112")</f>
        <v>https://www.sec.gov/cgi-bin/browse-edgar?CIK=1847112</v>
      </c>
      <c r="V732" s="72" t="str">
        <f>IFERROR(__xludf.DUMMYFUNCTION("""COMPUTED_VALUE"""),"           Top Tier UW ")</f>
        <v>           Top Tier UW </v>
      </c>
      <c r="W732" s="73"/>
      <c r="X732" s="74"/>
      <c r="Y732" s="75"/>
      <c r="Z732" s="60"/>
      <c r="AA732" s="60"/>
      <c r="AB732" s="60"/>
      <c r="AC732" s="60"/>
      <c r="AD732" s="73"/>
      <c r="AE732" s="73"/>
      <c r="AF732" s="76"/>
      <c r="AG732" s="60"/>
    </row>
    <row r="733">
      <c r="A733" s="54" t="str">
        <f>IFERROR(__xludf.DUMMYFUNCTION("""COMPUTED_VALUE"""),"TSIA")</f>
        <v>TSIA</v>
      </c>
      <c r="B733" s="55" t="str">
        <f>IFERROR(__xludf.DUMMYFUNCTION("""COMPUTED_VALUE"""),"TS Innovation Acquisitions Corp.")</f>
        <v>TS Innovation Acquisitions Corp.</v>
      </c>
      <c r="C733" s="56" t="str">
        <f>IFERROR(__xludf.DUMMYFUNCTION("""COMPUTED_VALUE"""),"Definitive Agreement")</f>
        <v>Definitive Agreement</v>
      </c>
      <c r="D733" s="57" t="str">
        <f>IFERROR(__xludf.DUMMYFUNCTION("""COMPUTED_VALUE"""),"Real Estate, Proptech")</f>
        <v>Real Estate, Proptech</v>
      </c>
      <c r="E733" s="58" t="str">
        <f>IFERROR(__xludf.DUMMYFUNCTION("""COMPUTED_VALUE"""),"Latch [DA: 01/25/21]")</f>
        <v>Latch [DA: 01/25/21]</v>
      </c>
      <c r="F733" s="59" t="str">
        <f>IFERROR(__xludf.DUMMYFUNCTION("""COMPUTED_VALUE"""),"Robert Speyer (CEO, Tishman Speyer)")</f>
        <v>Robert Speyer (CEO, Tishman Speyer)</v>
      </c>
      <c r="G733" s="60">
        <f>IFERROR(__xludf.DUMMYFUNCTION("""COMPUTED_VALUE"""),3.00002255E8)</f>
        <v>300002255</v>
      </c>
      <c r="H733" s="60">
        <f>IFERROR(__xludf.DUMMYFUNCTION("""COMPUTED_VALUE"""),3.186E8)</f>
        <v>318600000</v>
      </c>
      <c r="I733" s="66">
        <f>IFERROR(__xludf.DUMMYFUNCTION("""COMPUTED_VALUE"""),10.62)</f>
        <v>10.62</v>
      </c>
      <c r="J733" s="62">
        <f>IFERROR(__xludf.DUMMYFUNCTION("""COMPUTED_VALUE"""),-0.02836)</f>
        <v>-0.02836</v>
      </c>
      <c r="K733" s="59">
        <f>IFERROR(__xludf.DUMMYFUNCTION("""COMPUTED_VALUE"""),11.37)</f>
        <v>11.37</v>
      </c>
      <c r="L733" s="87">
        <f>IFERROR(__xludf.DUMMYFUNCTION("""COMPUTED_VALUE"""),2.43)</f>
        <v>2.43</v>
      </c>
      <c r="M733" s="64" t="str">
        <f>IFERROR(__xludf.DUMMYFUNCTION("""COMPUTED_VALUE"""),"U: [1/3 W]; W: [1:1, $11.5]")</f>
        <v>U: [1/3 W]; W: [1:1, $11.5]</v>
      </c>
      <c r="N733" s="65" t="str">
        <f>IFERROR(__xludf.DUMMYFUNCTION("""COMPUTED_VALUE"""),"")</f>
        <v/>
      </c>
      <c r="O733" s="66">
        <f>IFERROR(__xludf.DUMMYFUNCTION("""COMPUTED_VALUE"""),0.0)</f>
        <v>0</v>
      </c>
      <c r="P733" s="67">
        <f>IFERROR(__xludf.DUMMYFUNCTION("""COMPUTED_VALUE"""),44144.0)</f>
        <v>44144</v>
      </c>
      <c r="Q733" s="68">
        <f>IFERROR(__xludf.DUMMYFUNCTION("""COMPUTED_VALUE"""),300.0)</f>
        <v>300</v>
      </c>
      <c r="R733" s="69" t="str">
        <f>IFERROR(__xludf.DUMMYFUNCTION("""COMPUTED_VALUE"""),"BofA Securities, Allen &amp; Company")</f>
        <v>BofA Securities, Allen &amp; Company</v>
      </c>
      <c r="S733" s="64">
        <f>IFERROR(__xludf.DUMMYFUNCTION("""COMPUTED_VALUE"""),44874.0)</f>
        <v>44874</v>
      </c>
      <c r="T733" s="70">
        <f>IFERROR(__xludf.DUMMYFUNCTION("""COMPUTED_VALUE"""),0.20821917808219179)</f>
        <v>0.2082191781</v>
      </c>
      <c r="U733" s="71" t="str">
        <f>IFERROR(__xludf.DUMMYFUNCTION("""COMPUTED_VALUE"""),"https://www.sec.gov/cgi-bin/browse-edgar?CIK=1826000")</f>
        <v>https://www.sec.gov/cgi-bin/browse-edgar?CIK=1826000</v>
      </c>
      <c r="V733" s="72" t="str">
        <f>IFERROR(__xludf.DUMMYFUNCTION("""COMPUTED_VALUE"""),"     Optionable    Well-known Sponsor  Top Tier UW ")</f>
        <v>     Optionable    Well-known Sponsor  Top Tier UW </v>
      </c>
      <c r="W733" s="73">
        <f>IFERROR(__xludf.DUMMYFUNCTION("""COMPUTED_VALUE"""),44221.0)</f>
        <v>44221</v>
      </c>
      <c r="X733" s="79">
        <f>IFERROR(__xludf.DUMMYFUNCTION("""COMPUTED_VALUE"""),2.566666666666667)</f>
        <v>2.566666667</v>
      </c>
      <c r="Y733" s="80" t="str">
        <f>IFERROR(__xludf.DUMMYFUNCTION("""COMPUTED_VALUE"""),"https://www.prnewswire.com/news-releases/latch-maker-of-full-building-enterprise-saas-platform-latchos-to-merge-with-tishman-speyer-sponsored-spac-and-become-publicly-listed-company-301213873.html")</f>
        <v>https://www.prnewswire.com/news-releases/latch-maker-of-full-building-enterprise-saas-platform-latchos-to-merge-with-tishman-speyer-sponsored-spac-and-become-publicly-listed-company-301213873.html</v>
      </c>
      <c r="Z733" s="81" t="str">
        <f>IFERROR(__xludf.DUMMYFUNCTION("""COMPUTED_VALUE"""),"https://www.sec.gov/Archives/edgar/data/1826000/000119312521015400/d73403dex992.htm")</f>
        <v>https://www.sec.gov/Archives/edgar/data/1826000/000119312521015400/d73403dex992.htm</v>
      </c>
      <c r="AA733" s="60"/>
      <c r="AB733" s="60">
        <f>IFERROR(__xludf.DUMMYFUNCTION("""COMPUTED_VALUE"""),1.558E9)</f>
        <v>1558000000</v>
      </c>
      <c r="AC733" s="60">
        <f>IFERROR(__xludf.DUMMYFUNCTION("""COMPUTED_VALUE"""),1.053E9)</f>
        <v>1053000000</v>
      </c>
      <c r="AD733" s="73"/>
      <c r="AE733" s="73"/>
      <c r="AF733" s="76">
        <f>IFERROR(__xludf.DUMMYFUNCTION("""COMPUTED_VALUE"""),1.558E8)</f>
        <v>155800000</v>
      </c>
      <c r="AG733" s="60">
        <f>IFERROR(__xludf.DUMMYFUNCTION("""COMPUTED_VALUE"""),1.6545959999999998E9)</f>
        <v>1654596000</v>
      </c>
    </row>
    <row r="734">
      <c r="A734" s="54" t="str">
        <f>IFERROR(__xludf.DUMMYFUNCTION("""COMPUTED_VALUE"""),"TSIB")</f>
        <v>TSIB</v>
      </c>
      <c r="B734" s="55" t="str">
        <f>IFERROR(__xludf.DUMMYFUNCTION("""COMPUTED_VALUE"""),"Tishman Speyer Innovation Corp. II")</f>
        <v>Tishman Speyer Innovation Corp. II</v>
      </c>
      <c r="C734" s="56" t="str">
        <f>IFERROR(__xludf.DUMMYFUNCTION("""COMPUTED_VALUE"""),"Searching")</f>
        <v>Searching</v>
      </c>
      <c r="D734" s="57" t="str">
        <f>IFERROR(__xludf.DUMMYFUNCTION("""COMPUTED_VALUE"""),"Real Estate, Proptech")</f>
        <v>Real Estate, Proptech</v>
      </c>
      <c r="E734" s="58"/>
      <c r="F734" s="59" t="str">
        <f>IFERROR(__xludf.DUMMYFUNCTION("""COMPUTED_VALUE"""),"Robert Speyer (CEO, Tishman Speyer), Ned Segal (CFO, Twitter), Jennifer Rubio (Co-founder/President, Away / JRSK)")</f>
        <v>Robert Speyer (CEO, Tishman Speyer), Ned Segal (CFO, Twitter), Jennifer Rubio (Co-founder/President, Away / JRSK)</v>
      </c>
      <c r="G734" s="60">
        <f>IFERROR(__xludf.DUMMYFUNCTION("""COMPUTED_VALUE"""),3.0E8)</f>
        <v>300000000</v>
      </c>
      <c r="H734" s="60">
        <f>IFERROR(__xludf.DUMMYFUNCTION("""COMPUTED_VALUE"""),3.039E8)</f>
        <v>303900000</v>
      </c>
      <c r="I734" s="66">
        <f>IFERROR(__xludf.DUMMYFUNCTION("""COMPUTED_VALUE"""),10.13)</f>
        <v>10.13</v>
      </c>
      <c r="J734" s="62">
        <f>IFERROR(__xludf.DUMMYFUNCTION("""COMPUTED_VALUE"""),0.02843)</f>
        <v>0.02843</v>
      </c>
      <c r="K734" s="59">
        <f>IFERROR(__xludf.DUMMYFUNCTION("""COMPUTED_VALUE"""),10.18)</f>
        <v>10.18</v>
      </c>
      <c r="L734" s="87">
        <f>IFERROR(__xludf.DUMMYFUNCTION("""COMPUTED_VALUE"""),0.95)</f>
        <v>0.95</v>
      </c>
      <c r="M734" s="64" t="str">
        <f>IFERROR(__xludf.DUMMYFUNCTION("""COMPUTED_VALUE"""),"U: [1/5 W]; W: [1:1, $11.5]")</f>
        <v>U: [1/5 W]; W: [1:1, $11.5]</v>
      </c>
      <c r="N734" s="65">
        <f>IFERROR(__xludf.DUMMYFUNCTION("""COMPUTED_VALUE"""),44291.0)</f>
        <v>44291</v>
      </c>
      <c r="O734" s="66">
        <f>IFERROR(__xludf.DUMMYFUNCTION("""COMPUTED_VALUE"""),0.0)</f>
        <v>0</v>
      </c>
      <c r="P734" s="67">
        <f>IFERROR(__xludf.DUMMYFUNCTION("""COMPUTED_VALUE"""),44238.0)</f>
        <v>44238</v>
      </c>
      <c r="Q734" s="68">
        <f>IFERROR(__xludf.DUMMYFUNCTION("""COMPUTED_VALUE"""),300.0)</f>
        <v>300</v>
      </c>
      <c r="R734" s="69" t="str">
        <f>IFERROR(__xludf.DUMMYFUNCTION("""COMPUTED_VALUE"""),"BofA Securities, Allen &amp; Company LLC")</f>
        <v>BofA Securities, Allen &amp; Company LLC</v>
      </c>
      <c r="S734" s="64">
        <f>IFERROR(__xludf.DUMMYFUNCTION("""COMPUTED_VALUE"""),44968.0)</f>
        <v>44968</v>
      </c>
      <c r="T734" s="70">
        <f>IFERROR(__xludf.DUMMYFUNCTION("""COMPUTED_VALUE"""),0.07945205479452055)</f>
        <v>0.07945205479</v>
      </c>
      <c r="U734" s="71" t="str">
        <f>IFERROR(__xludf.DUMMYFUNCTION("""COMPUTED_VALUE"""),"https://www.sec.gov/cgi-bin/browse-edgar?CIK=1832737")</f>
        <v>https://www.sec.gov/cgi-bin/browse-edgar?CIK=1832737</v>
      </c>
      <c r="V734" s="72" t="str">
        <f>IFERROR(__xludf.DUMMYFUNCTION("""COMPUTED_VALUE"""),"         Well-known Sponsor  Top Tier UW ")</f>
        <v>         Well-known Sponsor  Top Tier UW </v>
      </c>
      <c r="W734" s="73"/>
      <c r="X734" s="74"/>
      <c r="Y734" s="75"/>
      <c r="Z734" s="60"/>
      <c r="AA734" s="60"/>
      <c r="AB734" s="60"/>
      <c r="AC734" s="60"/>
      <c r="AD734" s="73"/>
      <c r="AE734" s="73"/>
      <c r="AF734" s="76"/>
      <c r="AG734" s="60" t="str">
        <f>IFERROR(__xludf.DUMMYFUNCTION("""COMPUTED_VALUE"""),"")</f>
        <v/>
      </c>
    </row>
    <row r="735">
      <c r="A735" s="88" t="str">
        <f>IFERROR(__xludf.DUMMYFUNCTION("""COMPUTED_VALUE"""),"TSPQ")</f>
        <v>TSPQ</v>
      </c>
      <c r="B735" s="55" t="str">
        <f>IFERROR(__xludf.DUMMYFUNCTION("""COMPUTED_VALUE"""),"TCW Special Purpose Acquisition Corp.")</f>
        <v>TCW Special Purpose Acquisition Corp.</v>
      </c>
      <c r="C735" s="56" t="str">
        <f>IFERROR(__xludf.DUMMYFUNCTION("""COMPUTED_VALUE"""),"Searching (Pre Unit Split)")</f>
        <v>Searching (Pre Unit Split)</v>
      </c>
      <c r="D735" s="57" t="str">
        <f>IFERROR(__xludf.DUMMYFUNCTION("""COMPUTED_VALUE"""),"Tech, Healthcare, Industrial, Consumer")</f>
        <v>Tech, Healthcare, Industrial, Consumer</v>
      </c>
      <c r="E735" s="58"/>
      <c r="F735" s="59" t="str">
        <f>IFERROR(__xludf.DUMMYFUNCTION("""COMPUTED_VALUE"""),"Brad Buss (Fmr CFO, SolarCity; Director, QuantumScape and Advance Auto Parts), Thomas Tippl (Vice Chairman and Fmr COO, Activision Blizzard)")</f>
        <v>Brad Buss (Fmr CFO, SolarCity; Director, QuantumScape and Advance Auto Parts), Thomas Tippl (Vice Chairman and Fmr COO, Activision Blizzard)</v>
      </c>
      <c r="G735" s="60">
        <f>IFERROR(__xludf.DUMMYFUNCTION("""COMPUTED_VALUE"""),4.5E8)</f>
        <v>450000000</v>
      </c>
      <c r="H735" s="60" t="str">
        <f>IFERROR(__xludf.DUMMYFUNCTION("""COMPUTED_VALUE""")," ")</f>
        <v> </v>
      </c>
      <c r="I735" s="66" t="str">
        <f>IFERROR(__xludf.DUMMYFUNCTION("""COMPUTED_VALUE""")," ")</f>
        <v> </v>
      </c>
      <c r="J735" s="62" t="str">
        <f>IFERROR(__xludf.DUMMYFUNCTION("""COMPUTED_VALUE""")," ")</f>
        <v> </v>
      </c>
      <c r="K735" s="59">
        <f>IFERROR(__xludf.DUMMYFUNCTION("""COMPUTED_VALUE"""),10.0)</f>
        <v>10</v>
      </c>
      <c r="L735" s="87" t="str">
        <f>IFERROR(__xludf.DUMMYFUNCTION("""COMPUTED_VALUE""")," ")</f>
        <v> </v>
      </c>
      <c r="M735" s="64" t="str">
        <f>IFERROR(__xludf.DUMMYFUNCTION("""COMPUTED_VALUE"""),"U: [1/3 W]; W: [1:1, $11.5]")</f>
        <v>U: [1/3 W]; W: [1:1, $11.5]</v>
      </c>
      <c r="N735" s="65">
        <f>IFERROR(__xludf.DUMMYFUNCTION("""COMPUTED_VALUE"""),44308.0)</f>
        <v>44308</v>
      </c>
      <c r="O735" s="66" t="str">
        <f>IFERROR(__xludf.DUMMYFUNCTION("""COMPUTED_VALUE"""),"")</f>
        <v/>
      </c>
      <c r="P735" s="67">
        <f>IFERROR(__xludf.DUMMYFUNCTION("""COMPUTED_VALUE"""),44256.0)</f>
        <v>44256</v>
      </c>
      <c r="Q735" s="68">
        <f>IFERROR(__xludf.DUMMYFUNCTION("""COMPUTED_VALUE"""),450.0)</f>
        <v>450</v>
      </c>
      <c r="R735" s="69" t="str">
        <f>IFERROR(__xludf.DUMMYFUNCTION("""COMPUTED_VALUE"""),"Citigroup, Barclays")</f>
        <v>Citigroup, Barclays</v>
      </c>
      <c r="S735" s="64">
        <f>IFERROR(__xludf.DUMMYFUNCTION("""COMPUTED_VALUE"""),44986.0)</f>
        <v>44986</v>
      </c>
      <c r="T735" s="70">
        <f>IFERROR(__xludf.DUMMYFUNCTION("""COMPUTED_VALUE"""),0.0547945205479452)</f>
        <v>0.05479452055</v>
      </c>
      <c r="U735" s="71" t="str">
        <f>IFERROR(__xludf.DUMMYFUNCTION("""COMPUTED_VALUE"""),"https://www.sec.gov/cgi-bin/browse-edgar?CIK=1838219")</f>
        <v>https://www.sec.gov/cgi-bin/browse-edgar?CIK=1838219</v>
      </c>
      <c r="V735" s="72" t="str">
        <f>IFERROR(__xludf.DUMMYFUNCTION("""COMPUTED_VALUE"""),"           Top Tier UW ")</f>
        <v>           Top Tier UW </v>
      </c>
      <c r="W735" s="73"/>
      <c r="X735" s="74"/>
      <c r="Y735" s="75"/>
      <c r="Z735" s="60"/>
      <c r="AA735" s="60"/>
      <c r="AB735" s="60"/>
      <c r="AC735" s="60"/>
      <c r="AD735" s="73"/>
      <c r="AE735" s="73"/>
      <c r="AF735" s="76"/>
      <c r="AG735" s="60"/>
    </row>
    <row r="736">
      <c r="A736" s="88" t="str">
        <f>IFERROR(__xludf.DUMMYFUNCTION("""COMPUTED_VALUE"""),"TTO")</f>
        <v>TTO</v>
      </c>
      <c r="B736" s="55" t="str">
        <f>IFERROR(__xludf.DUMMYFUNCTION("""COMPUTED_VALUE"""),"Tiga Acquisition Corp. II")</f>
        <v>Tiga Acquisition Corp. II</v>
      </c>
      <c r="C736" s="56" t="str">
        <f>IFERROR(__xludf.DUMMYFUNCTION("""COMPUTED_VALUE"""),"Pre IPO")</f>
        <v>Pre IPO</v>
      </c>
      <c r="D736" s="57"/>
      <c r="E736" s="58"/>
      <c r="F736" s="59" t="str">
        <f>IFERROR(__xludf.DUMMYFUNCTION("""COMPUTED_VALUE"""),"Raymond Zage (CEO of Tiga Investments)")</f>
        <v>Raymond Zage (CEO of Tiga Investments)</v>
      </c>
      <c r="G736" s="60">
        <f>IFERROR(__xludf.DUMMYFUNCTION("""COMPUTED_VALUE"""),2.0E8)</f>
        <v>200000000</v>
      </c>
      <c r="H736" s="60" t="str">
        <f>IFERROR(__xludf.DUMMYFUNCTION("""COMPUTED_VALUE""")," ")</f>
        <v> </v>
      </c>
      <c r="I736" s="66" t="str">
        <f>IFERROR(__xludf.DUMMYFUNCTION("""COMPUTED_VALUE""")," ")</f>
        <v> </v>
      </c>
      <c r="J736" s="62" t="str">
        <f>IFERROR(__xludf.DUMMYFUNCTION("""COMPUTED_VALUE""")," ")</f>
        <v> </v>
      </c>
      <c r="K736" s="59" t="str">
        <f>IFERROR(__xludf.DUMMYFUNCTION("""COMPUTED_VALUE""")," ")</f>
        <v> </v>
      </c>
      <c r="L736" s="87" t="str">
        <f>IFERROR(__xludf.DUMMYFUNCTION("""COMPUTED_VALUE""")," ")</f>
        <v> </v>
      </c>
      <c r="M736" s="64" t="str">
        <f>IFERROR(__xludf.DUMMYFUNCTION("""COMPUTED_VALUE"""),"U: [1/4 W]; W: [1:1, $11.5]")</f>
        <v>U: [1/4 W]; W: [1:1, $11.5]</v>
      </c>
      <c r="N736" s="65" t="str">
        <f>IFERROR(__xludf.DUMMYFUNCTION("""COMPUTED_VALUE"""),"")</f>
        <v/>
      </c>
      <c r="O736" s="66">
        <f>IFERROR(__xludf.DUMMYFUNCTION("""COMPUTED_VALUE"""),0.0)</f>
        <v>0</v>
      </c>
      <c r="P736" s="67"/>
      <c r="Q736" s="68">
        <f>IFERROR(__xludf.DUMMYFUNCTION("""COMPUTED_VALUE"""),200.0)</f>
        <v>200</v>
      </c>
      <c r="R736" s="69" t="str">
        <f>IFERROR(__xludf.DUMMYFUNCTION("""COMPUTED_VALUE"""),"Credit Suisse, Goldman Sachs (Asia) L.L.C.")</f>
        <v>Credit Suisse, Goldman Sachs (Asia) L.L.C.</v>
      </c>
      <c r="S736" s="64">
        <f>IFERROR(__xludf.DUMMYFUNCTION("""COMPUTED_VALUE"""),45086.0)</f>
        <v>45086</v>
      </c>
      <c r="T736" s="70" t="str">
        <f>IFERROR(__xludf.DUMMYFUNCTION("""COMPUTED_VALUE"""),"")</f>
        <v/>
      </c>
      <c r="U736" s="71" t="str">
        <f>IFERROR(__xludf.DUMMYFUNCTION("""COMPUTED_VALUE"""),"https://www.sec.gov/cgi-bin/browse-edgar?CIK=1843556")</f>
        <v>https://www.sec.gov/cgi-bin/browse-edgar?CIK=1843556</v>
      </c>
      <c r="V736" s="72" t="str">
        <f>IFERROR(__xludf.DUMMYFUNCTION("""COMPUTED_VALUE"""),"         Well-known Sponsor Serial Sponsor Top Tier UW ")</f>
        <v>         Well-known Sponsor Serial Sponsor Top Tier UW </v>
      </c>
      <c r="W736" s="73"/>
      <c r="X736" s="74"/>
      <c r="Y736" s="75"/>
      <c r="Z736" s="60"/>
      <c r="AA736" s="60"/>
      <c r="AB736" s="60"/>
      <c r="AC736" s="60"/>
      <c r="AD736" s="73"/>
      <c r="AE736" s="73"/>
      <c r="AF736" s="76"/>
      <c r="AG736" s="60"/>
    </row>
    <row r="737">
      <c r="A737" s="88" t="str">
        <f>IFERROR(__xludf.DUMMYFUNCTION("""COMPUTED_VALUE"""),"TTRE")</f>
        <v>TTRE</v>
      </c>
      <c r="B737" s="55" t="str">
        <f>IFERROR(__xludf.DUMMYFUNCTION("""COMPUTED_VALUE"""),"Tiga Acquisition Corp. III")</f>
        <v>Tiga Acquisition Corp. III</v>
      </c>
      <c r="C737" s="56" t="str">
        <f>IFERROR(__xludf.DUMMYFUNCTION("""COMPUTED_VALUE"""),"Pre IPO")</f>
        <v>Pre IPO</v>
      </c>
      <c r="D737" s="57"/>
      <c r="E737" s="58"/>
      <c r="F737" s="59" t="str">
        <f>IFERROR(__xludf.DUMMYFUNCTION("""COMPUTED_VALUE"""),"Raymond Zage (CEO of Tiga Investments)")</f>
        <v>Raymond Zage (CEO of Tiga Investments)</v>
      </c>
      <c r="G737" s="60">
        <f>IFERROR(__xludf.DUMMYFUNCTION("""COMPUTED_VALUE"""),3.0E8)</f>
        <v>300000000</v>
      </c>
      <c r="H737" s="60" t="str">
        <f>IFERROR(__xludf.DUMMYFUNCTION("""COMPUTED_VALUE""")," ")</f>
        <v> </v>
      </c>
      <c r="I737" s="66" t="str">
        <f>IFERROR(__xludf.DUMMYFUNCTION("""COMPUTED_VALUE""")," ")</f>
        <v> </v>
      </c>
      <c r="J737" s="62" t="str">
        <f>IFERROR(__xludf.DUMMYFUNCTION("""COMPUTED_VALUE""")," ")</f>
        <v> </v>
      </c>
      <c r="K737" s="59" t="str">
        <f>IFERROR(__xludf.DUMMYFUNCTION("""COMPUTED_VALUE""")," ")</f>
        <v> </v>
      </c>
      <c r="L737" s="87" t="str">
        <f>IFERROR(__xludf.DUMMYFUNCTION("""COMPUTED_VALUE""")," ")</f>
        <v> </v>
      </c>
      <c r="M737" s="64" t="str">
        <f>IFERROR(__xludf.DUMMYFUNCTION("""COMPUTED_VALUE"""),"U: [1/4 W]; W: [1:1, $11.5]")</f>
        <v>U: [1/4 W]; W: [1:1, $11.5]</v>
      </c>
      <c r="N737" s="65" t="str">
        <f>IFERROR(__xludf.DUMMYFUNCTION("""COMPUTED_VALUE"""),"")</f>
        <v/>
      </c>
      <c r="O737" s="66">
        <f>IFERROR(__xludf.DUMMYFUNCTION("""COMPUTED_VALUE"""),0.0)</f>
        <v>0</v>
      </c>
      <c r="P737" s="67"/>
      <c r="Q737" s="68">
        <f>IFERROR(__xludf.DUMMYFUNCTION("""COMPUTED_VALUE"""),300.0)</f>
        <v>300</v>
      </c>
      <c r="R737" s="69" t="str">
        <f>IFERROR(__xludf.DUMMYFUNCTION("""COMPUTED_VALUE"""),"Credit Suisse, Goldman Sachs (Asia) L.L.C.")</f>
        <v>Credit Suisse, Goldman Sachs (Asia) L.L.C.</v>
      </c>
      <c r="S737" s="64">
        <f>IFERROR(__xludf.DUMMYFUNCTION("""COMPUTED_VALUE"""),45086.0)</f>
        <v>45086</v>
      </c>
      <c r="T737" s="70" t="str">
        <f>IFERROR(__xludf.DUMMYFUNCTION("""COMPUTED_VALUE"""),"")</f>
        <v/>
      </c>
      <c r="U737" s="71" t="str">
        <f>IFERROR(__xludf.DUMMYFUNCTION("""COMPUTED_VALUE"""),"https://www.sec.gov/cgi-bin/browse-edgar?CIK=1846468")</f>
        <v>https://www.sec.gov/cgi-bin/browse-edgar?CIK=1846468</v>
      </c>
      <c r="V737" s="72" t="str">
        <f>IFERROR(__xludf.DUMMYFUNCTION("""COMPUTED_VALUE"""),"         Well-known Sponsor Serial Sponsor Top Tier UW ")</f>
        <v>         Well-known Sponsor Serial Sponsor Top Tier UW </v>
      </c>
      <c r="W737" s="73"/>
      <c r="X737" s="74"/>
      <c r="Y737" s="75"/>
      <c r="Z737" s="60"/>
      <c r="AA737" s="60"/>
      <c r="AB737" s="60"/>
      <c r="AC737" s="60"/>
      <c r="AD737" s="73"/>
      <c r="AE737" s="73"/>
      <c r="AF737" s="76"/>
      <c r="AG737" s="60"/>
    </row>
    <row r="738">
      <c r="A738" s="88" t="str">
        <f>IFERROR(__xludf.DUMMYFUNCTION("""COMPUTED_VALUE"""),"TUGC")</f>
        <v>TUGC</v>
      </c>
      <c r="B738" s="55" t="str">
        <f>IFERROR(__xludf.DUMMYFUNCTION("""COMPUTED_VALUE"""),"TradeUP Global Corp")</f>
        <v>TradeUP Global Corp</v>
      </c>
      <c r="C738" s="56" t="str">
        <f>IFERROR(__xludf.DUMMYFUNCTION("""COMPUTED_VALUE"""),"Pre IPO")</f>
        <v>Pre IPO</v>
      </c>
      <c r="D738" s="57"/>
      <c r="E738" s="58"/>
      <c r="F738" s="59"/>
      <c r="G738" s="60">
        <f>IFERROR(__xludf.DUMMYFUNCTION("""COMPUTED_VALUE"""),4.0E7)</f>
        <v>40000000</v>
      </c>
      <c r="H738" s="60" t="str">
        <f>IFERROR(__xludf.DUMMYFUNCTION("""COMPUTED_VALUE""")," ")</f>
        <v> </v>
      </c>
      <c r="I738" s="66" t="str">
        <f>IFERROR(__xludf.DUMMYFUNCTION("""COMPUTED_VALUE""")," ")</f>
        <v> </v>
      </c>
      <c r="J738" s="62" t="str">
        <f>IFERROR(__xludf.DUMMYFUNCTION("""COMPUTED_VALUE""")," ")</f>
        <v> </v>
      </c>
      <c r="K738" s="59" t="str">
        <f>IFERROR(__xludf.DUMMYFUNCTION("""COMPUTED_VALUE""")," ")</f>
        <v> </v>
      </c>
      <c r="L738" s="87" t="str">
        <f>IFERROR(__xludf.DUMMYFUNCTION("""COMPUTED_VALUE""")," ")</f>
        <v> </v>
      </c>
      <c r="M738" s="64" t="str">
        <f>IFERROR(__xludf.DUMMYFUNCTION("""COMPUTED_VALUE"""),"U: [1/2 W]; W: [1:1, $11.5]")</f>
        <v>U: [1/2 W]; W: [1:1, $11.5]</v>
      </c>
      <c r="N738" s="65" t="str">
        <f>IFERROR(__xludf.DUMMYFUNCTION("""COMPUTED_VALUE"""),"")</f>
        <v/>
      </c>
      <c r="O738" s="66">
        <f>IFERROR(__xludf.DUMMYFUNCTION("""COMPUTED_VALUE"""),0.0)</f>
        <v>0</v>
      </c>
      <c r="P738" s="67"/>
      <c r="Q738" s="68">
        <f>IFERROR(__xludf.DUMMYFUNCTION("""COMPUTED_VALUE"""),40.0)</f>
        <v>40</v>
      </c>
      <c r="R738" s="69" t="str">
        <f>IFERROR(__xludf.DUMMYFUNCTION("""COMPUTED_VALUE"""),"Tiger Brokers")</f>
        <v>Tiger Brokers</v>
      </c>
      <c r="S738" s="64">
        <f>IFERROR(__xludf.DUMMYFUNCTION("""COMPUTED_VALUE"""),45086.0)</f>
        <v>45086</v>
      </c>
      <c r="T738" s="70" t="str">
        <f>IFERROR(__xludf.DUMMYFUNCTION("""COMPUTED_VALUE"""),"")</f>
        <v/>
      </c>
      <c r="U738" s="71" t="str">
        <f>IFERROR(__xludf.DUMMYFUNCTION("""COMPUTED_VALUE"""),"https://www.sec.gov/cgi-bin/browse-edgar?CIK=1847075")</f>
        <v>https://www.sec.gov/cgi-bin/browse-edgar?CIK=1847075</v>
      </c>
      <c r="V738" s="72" t="str">
        <f>IFERROR(__xludf.DUMMYFUNCTION("""COMPUTED_VALUE"""),"            ")</f>
        <v>            </v>
      </c>
      <c r="W738" s="73"/>
      <c r="X738" s="74"/>
      <c r="Y738" s="75"/>
      <c r="Z738" s="60"/>
      <c r="AA738" s="60"/>
      <c r="AB738" s="60"/>
      <c r="AC738" s="60"/>
      <c r="AD738" s="73"/>
      <c r="AE738" s="73"/>
      <c r="AF738" s="76"/>
      <c r="AG738" s="60"/>
    </row>
    <row r="739">
      <c r="A739" s="54" t="str">
        <f>IFERROR(__xludf.DUMMYFUNCTION("""COMPUTED_VALUE"""),"TVAC")</f>
        <v>TVAC</v>
      </c>
      <c r="B739" s="55" t="str">
        <f>IFERROR(__xludf.DUMMYFUNCTION("""COMPUTED_VALUE"""),"Thayer Ventures Acquisition Corp")</f>
        <v>Thayer Ventures Acquisition Corp</v>
      </c>
      <c r="C739" s="56" t="str">
        <f>IFERROR(__xludf.DUMMYFUNCTION("""COMPUTED_VALUE"""),"Searching")</f>
        <v>Searching</v>
      </c>
      <c r="D739" s="57" t="str">
        <f>IFERROR(__xludf.DUMMYFUNCTION("""COMPUTED_VALUE"""),"Travel and Transportation Tech")</f>
        <v>Travel and Transportation Tech</v>
      </c>
      <c r="E739" s="58"/>
      <c r="F739" s="59" t="str">
        <f>IFERROR(__xludf.DUMMYFUNCTION("""COMPUTED_VALUE"""),"Mark Farrell (Managing Director, Thayer Ventures; Former Mayor of San Francisco), Charles Floyd (Exec VP, Hyatt Hotels), ")</f>
        <v>Mark Farrell (Managing Director, Thayer Ventures; Former Mayor of San Francisco), Charles Floyd (Exec VP, Hyatt Hotels), </v>
      </c>
      <c r="G739" s="60">
        <f>IFERROR(__xludf.DUMMYFUNCTION("""COMPUTED_VALUE"""),1.75950325E8)</f>
        <v>175950325</v>
      </c>
      <c r="H739" s="60">
        <f>IFERROR(__xludf.DUMMYFUNCTION("""COMPUTED_VALUE"""),1.72643175E8)</f>
        <v>172643175</v>
      </c>
      <c r="I739" s="66">
        <f>IFERROR(__xludf.DUMMYFUNCTION("""COMPUTED_VALUE"""),10.0083)</f>
        <v>10.0083</v>
      </c>
      <c r="J739" s="62">
        <f>IFERROR(__xludf.DUMMYFUNCTION("""COMPUTED_VALUE"""),0.00284)</f>
        <v>0.00284</v>
      </c>
      <c r="K739" s="59">
        <f>IFERROR(__xludf.DUMMYFUNCTION("""COMPUTED_VALUE"""),10.35)</f>
        <v>10.35</v>
      </c>
      <c r="L739" s="87">
        <f>IFERROR(__xludf.DUMMYFUNCTION("""COMPUTED_VALUE"""),0.74)</f>
        <v>0.74</v>
      </c>
      <c r="M739" s="64" t="str">
        <f>IFERROR(__xludf.DUMMYFUNCTION("""COMPUTED_VALUE"""),"U: [1/2 W]; W: [1:1, $11.5]")</f>
        <v>U: [1/2 W]; W: [1:1, $11.5]</v>
      </c>
      <c r="N739" s="65" t="str">
        <f>IFERROR(__xludf.DUMMYFUNCTION("""COMPUTED_VALUE"""),"")</f>
        <v/>
      </c>
      <c r="O739" s="66">
        <f>IFERROR(__xludf.DUMMYFUNCTION("""COMPUTED_VALUE"""),0.0)</f>
        <v>0</v>
      </c>
      <c r="P739" s="67">
        <f>IFERROR(__xludf.DUMMYFUNCTION("""COMPUTED_VALUE"""),44176.0)</f>
        <v>44176</v>
      </c>
      <c r="Q739" s="68">
        <f>IFERROR(__xludf.DUMMYFUNCTION("""COMPUTED_VALUE"""),175.95)</f>
        <v>175.95</v>
      </c>
      <c r="R739" s="69" t="str">
        <f>IFERROR(__xludf.DUMMYFUNCTION("""COMPUTED_VALUE"""),"Stifel, Oppenheimer")</f>
        <v>Stifel, Oppenheimer</v>
      </c>
      <c r="S739" s="64">
        <f>IFERROR(__xludf.DUMMYFUNCTION("""COMPUTED_VALUE"""),44723.5)</f>
        <v>44723.5</v>
      </c>
      <c r="T739" s="70">
        <f>IFERROR(__xludf.DUMMYFUNCTION("""COMPUTED_VALUE"""),0.2191780821917808)</f>
        <v>0.2191780822</v>
      </c>
      <c r="U739" s="71" t="str">
        <f>IFERROR(__xludf.DUMMYFUNCTION("""COMPUTED_VALUE"""),"https://www.sec.gov/cgi-bin/browse-edgar?CIK=1820566")</f>
        <v>https://www.sec.gov/cgi-bin/browse-edgar?CIK=1820566</v>
      </c>
      <c r="V739" s="72" t="str">
        <f>IFERROR(__xludf.DUMMYFUNCTION("""COMPUTED_VALUE"""),"Venture Capital         Well-known Sponsor   ")</f>
        <v>Venture Capital         Well-known Sponsor   </v>
      </c>
      <c r="W739" s="73"/>
      <c r="X739" s="74"/>
      <c r="Y739" s="75"/>
      <c r="Z739" s="60"/>
      <c r="AA739" s="60"/>
      <c r="AB739" s="60"/>
      <c r="AC739" s="60"/>
      <c r="AD739" s="73"/>
      <c r="AE739" s="73"/>
      <c r="AF739" s="76"/>
      <c r="AG739" s="60" t="str">
        <f>IFERROR(__xludf.DUMMYFUNCTION("""COMPUTED_VALUE"""),"")</f>
        <v/>
      </c>
    </row>
    <row r="740">
      <c r="A740" s="88" t="str">
        <f>IFERROR(__xludf.DUMMYFUNCTION("""COMPUTED_VALUE"""),"TWCB")</f>
        <v>TWCB</v>
      </c>
      <c r="B740" s="55" t="str">
        <f>IFERROR(__xludf.DUMMYFUNCTION("""COMPUTED_VALUE"""),"Bilander Acquisition Corp.")</f>
        <v>Bilander Acquisition Corp.</v>
      </c>
      <c r="C740" s="56" t="str">
        <f>IFERROR(__xludf.DUMMYFUNCTION("""COMPUTED_VALUE"""),"Pre IPO")</f>
        <v>Pre IPO</v>
      </c>
      <c r="D740" s="77" t="str">
        <f>IFERROR(__xludf.DUMMYFUNCTION("""COMPUTED_VALUE"""),"Tech")</f>
        <v>Tech</v>
      </c>
      <c r="E740" s="58"/>
      <c r="F740" s="59" t="str">
        <f>IFERROR(__xludf.DUMMYFUNCTION("""COMPUTED_VALUE"""),"James Greene, Jr. (Founding Partner of True Wind Capital), Lee Kirkpatrick (Former CFO of Twilio), Scott Wagner (Former CEO of GoDaddy)")</f>
        <v>James Greene, Jr. (Founding Partner of True Wind Capital), Lee Kirkpatrick (Former CFO of Twilio), Scott Wagner (Former CEO of GoDaddy)</v>
      </c>
      <c r="G740" s="60">
        <f>IFERROR(__xludf.DUMMYFUNCTION("""COMPUTED_VALUE"""),1.5E8)</f>
        <v>150000000</v>
      </c>
      <c r="H740" s="60" t="str">
        <f>IFERROR(__xludf.DUMMYFUNCTION("""COMPUTED_VALUE""")," ")</f>
        <v> </v>
      </c>
      <c r="I740" s="66" t="str">
        <f>IFERROR(__xludf.DUMMYFUNCTION("""COMPUTED_VALUE""")," ")</f>
        <v> </v>
      </c>
      <c r="J740" s="62" t="str">
        <f>IFERROR(__xludf.DUMMYFUNCTION("""COMPUTED_VALUE""")," ")</f>
        <v> </v>
      </c>
      <c r="K740" s="59" t="str">
        <f>IFERROR(__xludf.DUMMYFUNCTION("""COMPUTED_VALUE""")," ")</f>
        <v> </v>
      </c>
      <c r="L740" s="87" t="str">
        <f>IFERROR(__xludf.DUMMYFUNCTION("""COMPUTED_VALUE""")," ")</f>
        <v> </v>
      </c>
      <c r="M740" s="64" t="str">
        <f>IFERROR(__xludf.DUMMYFUNCTION("""COMPUTED_VALUE"""),"U: [1/6 W]; W: [1:1, $11.5]")</f>
        <v>U: [1/6 W]; W: [1:1, $11.5]</v>
      </c>
      <c r="N740" s="65" t="str">
        <f>IFERROR(__xludf.DUMMYFUNCTION("""COMPUTED_VALUE"""),"")</f>
        <v/>
      </c>
      <c r="O740" s="66">
        <f>IFERROR(__xludf.DUMMYFUNCTION("""COMPUTED_VALUE"""),0.0)</f>
        <v>0</v>
      </c>
      <c r="P740" s="67"/>
      <c r="Q740" s="68">
        <f>IFERROR(__xludf.DUMMYFUNCTION("""COMPUTED_VALUE"""),150.0)</f>
        <v>150</v>
      </c>
      <c r="R740" s="69" t="str">
        <f>IFERROR(__xludf.DUMMYFUNCTION("""COMPUTED_VALUE"""),"Morgan Stanley, Deutsche Bank Securities, Evercore ISI")</f>
        <v>Morgan Stanley, Deutsche Bank Securities, Evercore ISI</v>
      </c>
      <c r="S740" s="64">
        <f>IFERROR(__xludf.DUMMYFUNCTION("""COMPUTED_VALUE"""),45086.0)</f>
        <v>45086</v>
      </c>
      <c r="T740" s="70" t="str">
        <f>IFERROR(__xludf.DUMMYFUNCTION("""COMPUTED_VALUE"""),"")</f>
        <v/>
      </c>
      <c r="U740" s="71" t="str">
        <f>IFERROR(__xludf.DUMMYFUNCTION("""COMPUTED_VALUE"""),"https://www.sec.gov/cgi-bin/browse-edgar?CIK=1845618")</f>
        <v>https://www.sec.gov/cgi-bin/browse-edgar?CIK=1845618</v>
      </c>
      <c r="V740" s="72" t="str">
        <f>IFERROR(__xludf.DUMMYFUNCTION("""COMPUTED_VALUE"""),"          Serial Sponsor Top Tier UW ")</f>
        <v>          Serial Sponsor Top Tier UW </v>
      </c>
      <c r="W740" s="73"/>
      <c r="X740" s="74"/>
      <c r="Y740" s="75"/>
      <c r="Z740" s="60"/>
      <c r="AA740" s="60"/>
      <c r="AB740" s="60"/>
      <c r="AC740" s="60"/>
      <c r="AD740" s="73"/>
      <c r="AE740" s="73"/>
      <c r="AF740" s="76"/>
      <c r="AG740" s="60"/>
    </row>
    <row r="741">
      <c r="A741" s="88" t="str">
        <f>IFERROR(__xludf.DUMMYFUNCTION("""COMPUTED_VALUE"""),"TWCG")</f>
        <v>TWCG</v>
      </c>
      <c r="B741" s="55" t="str">
        <f>IFERROR(__xludf.DUMMYFUNCTION("""COMPUTED_VALUE"""),"Galliot Acquisition Corp.")</f>
        <v>Galliot Acquisition Corp.</v>
      </c>
      <c r="C741" s="56" t="str">
        <f>IFERROR(__xludf.DUMMYFUNCTION("""COMPUTED_VALUE"""),"Pre IPO")</f>
        <v>Pre IPO</v>
      </c>
      <c r="D741" s="77" t="str">
        <f>IFERROR(__xludf.DUMMYFUNCTION("""COMPUTED_VALUE"""),"Tech")</f>
        <v>Tech</v>
      </c>
      <c r="E741" s="58"/>
      <c r="F741" s="59" t="str">
        <f>IFERROR(__xludf.DUMMYFUNCTION("""COMPUTED_VALUE"""),"James Greene, Jr. (Founding Partner of True Wind Capital), Lee Kirkpatrick (Former CFO of Twilio), Scott Wagner (Former CEO of GoDaddy)")</f>
        <v>James Greene, Jr. (Founding Partner of True Wind Capital), Lee Kirkpatrick (Former CFO of Twilio), Scott Wagner (Former CEO of GoDaddy)</v>
      </c>
      <c r="G741" s="60">
        <f>IFERROR(__xludf.DUMMYFUNCTION("""COMPUTED_VALUE"""),2.5E8)</f>
        <v>250000000</v>
      </c>
      <c r="H741" s="60" t="str">
        <f>IFERROR(__xludf.DUMMYFUNCTION("""COMPUTED_VALUE""")," ")</f>
        <v> </v>
      </c>
      <c r="I741" s="66" t="str">
        <f>IFERROR(__xludf.DUMMYFUNCTION("""COMPUTED_VALUE""")," ")</f>
        <v> </v>
      </c>
      <c r="J741" s="62" t="str">
        <f>IFERROR(__xludf.DUMMYFUNCTION("""COMPUTED_VALUE""")," ")</f>
        <v> </v>
      </c>
      <c r="K741" s="59" t="str">
        <f>IFERROR(__xludf.DUMMYFUNCTION("""COMPUTED_VALUE""")," ")</f>
        <v> </v>
      </c>
      <c r="L741" s="87" t="str">
        <f>IFERROR(__xludf.DUMMYFUNCTION("""COMPUTED_VALUE""")," ")</f>
        <v> </v>
      </c>
      <c r="M741" s="64" t="str">
        <f>IFERROR(__xludf.DUMMYFUNCTION("""COMPUTED_VALUE"""),"U: [1/6 W]; W: [1:1, $11.5]")</f>
        <v>U: [1/6 W]; W: [1:1, $11.5]</v>
      </c>
      <c r="N741" s="65" t="str">
        <f>IFERROR(__xludf.DUMMYFUNCTION("""COMPUTED_VALUE"""),"")</f>
        <v/>
      </c>
      <c r="O741" s="66">
        <f>IFERROR(__xludf.DUMMYFUNCTION("""COMPUTED_VALUE"""),0.0)</f>
        <v>0</v>
      </c>
      <c r="P741" s="67"/>
      <c r="Q741" s="68">
        <f>IFERROR(__xludf.DUMMYFUNCTION("""COMPUTED_VALUE"""),250.0)</f>
        <v>250</v>
      </c>
      <c r="R741" s="69" t="str">
        <f>IFERROR(__xludf.DUMMYFUNCTION("""COMPUTED_VALUE"""),"Morgan Stanley, Deutsche Bank Securities, Evercore ISI")</f>
        <v>Morgan Stanley, Deutsche Bank Securities, Evercore ISI</v>
      </c>
      <c r="S741" s="64">
        <f>IFERROR(__xludf.DUMMYFUNCTION("""COMPUTED_VALUE"""),45086.0)</f>
        <v>45086</v>
      </c>
      <c r="T741" s="70" t="str">
        <f>IFERROR(__xludf.DUMMYFUNCTION("""COMPUTED_VALUE"""),"")</f>
        <v/>
      </c>
      <c r="U741" s="71" t="str">
        <f>IFERROR(__xludf.DUMMYFUNCTION("""COMPUTED_VALUE"""),"https://www.sec.gov/cgi-bin/browse-edgar?CIK=1845855")</f>
        <v>https://www.sec.gov/cgi-bin/browse-edgar?CIK=1845855</v>
      </c>
      <c r="V741" s="72" t="str">
        <f>IFERROR(__xludf.DUMMYFUNCTION("""COMPUTED_VALUE"""),"          Serial Sponsor Top Tier UW ")</f>
        <v>          Serial Sponsor Top Tier UW </v>
      </c>
      <c r="W741" s="73"/>
      <c r="X741" s="74"/>
      <c r="Y741" s="75"/>
      <c r="Z741" s="60"/>
      <c r="AA741" s="60"/>
      <c r="AB741" s="60"/>
      <c r="AC741" s="60"/>
      <c r="AD741" s="73"/>
      <c r="AE741" s="73"/>
      <c r="AF741" s="76"/>
      <c r="AG741" s="60"/>
    </row>
    <row r="742">
      <c r="A742" s="88" t="str">
        <f>IFERROR(__xludf.DUMMYFUNCTION("""COMPUTED_VALUE"""),"TWCM")</f>
        <v>TWCM</v>
      </c>
      <c r="B742" s="55" t="str">
        <f>IFERROR(__xludf.DUMMYFUNCTION("""COMPUTED_VALUE"""),"Mistico Acquisition Corp.")</f>
        <v>Mistico Acquisition Corp.</v>
      </c>
      <c r="C742" s="56" t="str">
        <f>IFERROR(__xludf.DUMMYFUNCTION("""COMPUTED_VALUE"""),"Pre IPO")</f>
        <v>Pre IPO</v>
      </c>
      <c r="D742" s="57"/>
      <c r="E742" s="58"/>
      <c r="F742" s="59"/>
      <c r="G742" s="60">
        <f>IFERROR(__xludf.DUMMYFUNCTION("""COMPUTED_VALUE"""),4.0E8)</f>
        <v>400000000</v>
      </c>
      <c r="H742" s="60" t="str">
        <f>IFERROR(__xludf.DUMMYFUNCTION("""COMPUTED_VALUE""")," ")</f>
        <v> </v>
      </c>
      <c r="I742" s="66" t="str">
        <f>IFERROR(__xludf.DUMMYFUNCTION("""COMPUTED_VALUE""")," ")</f>
        <v> </v>
      </c>
      <c r="J742" s="62" t="str">
        <f>IFERROR(__xludf.DUMMYFUNCTION("""COMPUTED_VALUE""")," ")</f>
        <v> </v>
      </c>
      <c r="K742" s="59" t="str">
        <f>IFERROR(__xludf.DUMMYFUNCTION("""COMPUTED_VALUE""")," ")</f>
        <v> </v>
      </c>
      <c r="L742" s="87" t="str">
        <f>IFERROR(__xludf.DUMMYFUNCTION("""COMPUTED_VALUE""")," ")</f>
        <v> </v>
      </c>
      <c r="M742" s="64" t="str">
        <f>IFERROR(__xludf.DUMMYFUNCTION("""COMPUTED_VALUE"""),"U: [1/5 W]; W: [1:1, $11.5]")</f>
        <v>U: [1/5 W]; W: [1:1, $11.5]</v>
      </c>
      <c r="N742" s="65" t="str">
        <f>IFERROR(__xludf.DUMMYFUNCTION("""COMPUTED_VALUE"""),"")</f>
        <v/>
      </c>
      <c r="O742" s="66">
        <f>IFERROR(__xludf.DUMMYFUNCTION("""COMPUTED_VALUE"""),0.0)</f>
        <v>0</v>
      </c>
      <c r="P742" s="67"/>
      <c r="Q742" s="68">
        <f>IFERROR(__xludf.DUMMYFUNCTION("""COMPUTED_VALUE"""),400.0)</f>
        <v>400</v>
      </c>
      <c r="R742" s="69" t="str">
        <f>IFERROR(__xludf.DUMMYFUNCTION("""COMPUTED_VALUE"""),"Morgan Stanley, Deutsche Bank Securities, Evercore ISI")</f>
        <v>Morgan Stanley, Deutsche Bank Securities, Evercore ISI</v>
      </c>
      <c r="S742" s="64">
        <f>IFERROR(__xludf.DUMMYFUNCTION("""COMPUTED_VALUE"""),45086.0)</f>
        <v>45086</v>
      </c>
      <c r="T742" s="70" t="str">
        <f>IFERROR(__xludf.DUMMYFUNCTION("""COMPUTED_VALUE"""),"")</f>
        <v/>
      </c>
      <c r="U742" s="71" t="str">
        <f>IFERROR(__xludf.DUMMYFUNCTION("""COMPUTED_VALUE"""),"https://www.sec.gov/cgi-bin/browse-edgar?CIK=1849512")</f>
        <v>https://www.sec.gov/cgi-bin/browse-edgar?CIK=1849512</v>
      </c>
      <c r="V742" s="72" t="str">
        <f>IFERROR(__xludf.DUMMYFUNCTION("""COMPUTED_VALUE"""),"           Top Tier UW ")</f>
        <v>           Top Tier UW </v>
      </c>
      <c r="W742" s="73"/>
      <c r="X742" s="74"/>
      <c r="Y742" s="75"/>
      <c r="Z742" s="60"/>
      <c r="AA742" s="60"/>
      <c r="AB742" s="60"/>
      <c r="AC742" s="60"/>
      <c r="AD742" s="73"/>
      <c r="AE742" s="73"/>
      <c r="AF742" s="76"/>
      <c r="AG742" s="60"/>
    </row>
    <row r="743">
      <c r="A743" s="54" t="str">
        <f>IFERROR(__xludf.DUMMYFUNCTION("""COMPUTED_VALUE"""),"TWCT")</f>
        <v>TWCT</v>
      </c>
      <c r="B743" s="55" t="str">
        <f>IFERROR(__xludf.DUMMYFUNCTION("""COMPUTED_VALUE"""),"TWC Tech Holdings II Corp")</f>
        <v>TWC Tech Holdings II Corp</v>
      </c>
      <c r="C743" s="56" t="str">
        <f>IFERROR(__xludf.DUMMYFUNCTION("""COMPUTED_VALUE"""),"Definitive Agreement")</f>
        <v>Definitive Agreement</v>
      </c>
      <c r="D743" s="57" t="str">
        <f>IFERROR(__xludf.DUMMYFUNCTION("""COMPUTED_VALUE"""),"Tech")</f>
        <v>Tech</v>
      </c>
      <c r="E743" s="58" t="str">
        <f>IFERROR(__xludf.DUMMYFUNCTION("""COMPUTED_VALUE"""),"Cellebrite [DA: 04/08/21]")</f>
        <v>Cellebrite [DA: 04/08/21]</v>
      </c>
      <c r="F743" s="59" t="str">
        <f>IFERROR(__xludf.DUMMYFUNCTION("""COMPUTED_VALUE"""),"True Wind Capital, Scott Wagner (Former CEO, GoDaddy)")</f>
        <v>True Wind Capital, Scott Wagner (Former CEO, GoDaddy)</v>
      </c>
      <c r="G743" s="60">
        <f>IFERROR(__xludf.DUMMYFUNCTION("""COMPUTED_VALUE"""),6.00053904E8)</f>
        <v>600053904</v>
      </c>
      <c r="H743" s="60">
        <f>IFERROR(__xludf.DUMMYFUNCTION("""COMPUTED_VALUE"""),5.994E8)</f>
        <v>599400000</v>
      </c>
      <c r="I743" s="66">
        <f>IFERROR(__xludf.DUMMYFUNCTION("""COMPUTED_VALUE"""),9.99)</f>
        <v>9.99</v>
      </c>
      <c r="J743" s="62">
        <f>IFERROR(__xludf.DUMMYFUNCTION("""COMPUTED_VALUE"""),-0.002)</f>
        <v>-0.002</v>
      </c>
      <c r="K743" s="59">
        <f>IFERROR(__xludf.DUMMYFUNCTION("""COMPUTED_VALUE"""),10.375)</f>
        <v>10.375</v>
      </c>
      <c r="L743" s="87">
        <f>IFERROR(__xludf.DUMMYFUNCTION("""COMPUTED_VALUE"""),1.29)</f>
        <v>1.29</v>
      </c>
      <c r="M743" s="64" t="str">
        <f>IFERROR(__xludf.DUMMYFUNCTION("""COMPUTED_VALUE"""),"U: [1/3 W]; W: [1:1, $11.5]")</f>
        <v>U: [1/3 W]; W: [1:1, $11.5]</v>
      </c>
      <c r="N743" s="65" t="str">
        <f>IFERROR(__xludf.DUMMYFUNCTION("""COMPUTED_VALUE"""),"")</f>
        <v/>
      </c>
      <c r="O743" s="66">
        <f>IFERROR(__xludf.DUMMYFUNCTION("""COMPUTED_VALUE"""),0.0)</f>
        <v>0</v>
      </c>
      <c r="P743" s="67">
        <f>IFERROR(__xludf.DUMMYFUNCTION("""COMPUTED_VALUE"""),44085.0)</f>
        <v>44085</v>
      </c>
      <c r="Q743" s="68">
        <f>IFERROR(__xludf.DUMMYFUNCTION("""COMPUTED_VALUE"""),600.0)</f>
        <v>600</v>
      </c>
      <c r="R743" s="69" t="str">
        <f>IFERROR(__xludf.DUMMYFUNCTION("""COMPUTED_VALUE"""),"Citigroup, Deutsche Bank Securities")</f>
        <v>Citigroup, Deutsche Bank Securities</v>
      </c>
      <c r="S743" s="64">
        <f>IFERROR(__xludf.DUMMYFUNCTION("""COMPUTED_VALUE"""),44815.0)</f>
        <v>44815</v>
      </c>
      <c r="T743" s="70">
        <f>IFERROR(__xludf.DUMMYFUNCTION("""COMPUTED_VALUE"""),0.28904109589041094)</f>
        <v>0.2890410959</v>
      </c>
      <c r="U743" s="71" t="str">
        <f>IFERROR(__xludf.DUMMYFUNCTION("""COMPUTED_VALUE"""),"https://www.sec.gov/cgi-bin/browse-edgar?CIK=1819313")</f>
        <v>https://www.sec.gov/cgi-bin/browse-edgar?CIK=1819313</v>
      </c>
      <c r="V743" s="72" t="str">
        <f>IFERROR(__xludf.DUMMYFUNCTION("""COMPUTED_VALUE""")," Trading Below $10 (Common)  $500M+ Trust Optionable      Top Tier UW ")</f>
        <v> Trading Below $10 (Common)  $500M+ Trust Optionable      Top Tier UW </v>
      </c>
      <c r="W743" s="73">
        <f>IFERROR(__xludf.DUMMYFUNCTION("""COMPUTED_VALUE"""),44294.0)</f>
        <v>44294</v>
      </c>
      <c r="X743" s="79">
        <f>IFERROR(__xludf.DUMMYFUNCTION("""COMPUTED_VALUE"""),6.966666666666667)</f>
        <v>6.966666667</v>
      </c>
      <c r="Y743" s="80" t="str">
        <f>IFERROR(__xludf.DUMMYFUNCTION("""COMPUTED_VALUE"""),"https://www.prnewswire.com/news-releases/cellebrite-the-leading-digital-intelligence-solutions-provider-to-list-on-nasdaq-through-merger-with-twc-tech-holdings-ii-corp-301264966.html")</f>
        <v>https://www.prnewswire.com/news-releases/cellebrite-the-leading-digital-intelligence-solutions-provider-to-list-on-nasdaq-through-merger-with-twc-tech-holdings-ii-corp-301264966.html</v>
      </c>
      <c r="Z743" s="81" t="str">
        <f>IFERROR(__xludf.DUMMYFUNCTION("""COMPUTED_VALUE"""),"https://www.sec.gov/Archives/edgar/data/0001819313/000121390021020730/ea139090ex99-2_twctech2.htm")</f>
        <v>https://www.sec.gov/Archives/edgar/data/0001819313/000121390021020730/ea139090ex99-2_twctech2.htm</v>
      </c>
      <c r="AA743" s="60">
        <f>IFERROR(__xludf.DUMMYFUNCTION("""COMPUTED_VALUE"""),3.0E8)</f>
        <v>300000000</v>
      </c>
      <c r="AB743" s="60">
        <f>IFERROR(__xludf.DUMMYFUNCTION("""COMPUTED_VALUE"""),2.391E9)</f>
        <v>2391000000</v>
      </c>
      <c r="AC743" s="60">
        <f>IFERROR(__xludf.DUMMYFUNCTION("""COMPUTED_VALUE"""),1.811E9)</f>
        <v>1811000000</v>
      </c>
      <c r="AD743" s="73"/>
      <c r="AE743" s="73"/>
      <c r="AF743" s="76">
        <f>IFERROR(__xludf.DUMMYFUNCTION("""COMPUTED_VALUE"""),2.391E8)</f>
        <v>239100000</v>
      </c>
      <c r="AG743" s="60">
        <f>IFERROR(__xludf.DUMMYFUNCTION("""COMPUTED_VALUE"""),2.388609E9)</f>
        <v>2388609000</v>
      </c>
    </row>
    <row r="744">
      <c r="A744" s="88" t="str">
        <f>IFERROR(__xludf.DUMMYFUNCTION("""COMPUTED_VALUE"""),"TWIC")</f>
        <v>TWIC</v>
      </c>
      <c r="B744" s="55" t="str">
        <f>IFERROR(__xludf.DUMMYFUNCTION("""COMPUTED_VALUE"""),"Twist Investment Corp")</f>
        <v>Twist Investment Corp</v>
      </c>
      <c r="C744" s="56" t="str">
        <f>IFERROR(__xludf.DUMMYFUNCTION("""COMPUTED_VALUE"""),"Pre IPO")</f>
        <v>Pre IPO</v>
      </c>
      <c r="D744" s="57" t="str">
        <f>IFERROR(__xludf.DUMMYFUNCTION("""COMPUTED_VALUE"""),"Tech")</f>
        <v>Tech</v>
      </c>
      <c r="E744" s="58"/>
      <c r="F744" s="59" t="str">
        <f>IFERROR(__xludf.DUMMYFUNCTION("""COMPUTED_VALUE"""),"Sean Madnani (CEO, Twist Capital; Fmr Sr. Managing Director, Blackstone), Mary Dotz (Fmr CFO, Adaptec; Fmr Interim CFO, NVIDIA), Jeffrey Benck (CEO, Benchmark Electronics), Subramanian Sundaresh (Fmr CEO, Adaptec)")</f>
        <v>Sean Madnani (CEO, Twist Capital; Fmr Sr. Managing Director, Blackstone), Mary Dotz (Fmr CFO, Adaptec; Fmr Interim CFO, NVIDIA), Jeffrey Benck (CEO, Benchmark Electronics), Subramanian Sundaresh (Fmr CEO, Adaptec)</v>
      </c>
      <c r="G744" s="60">
        <f>IFERROR(__xludf.DUMMYFUNCTION("""COMPUTED_VALUE"""),1.75E8)</f>
        <v>175000000</v>
      </c>
      <c r="H744" s="60" t="str">
        <f>IFERROR(__xludf.DUMMYFUNCTION("""COMPUTED_VALUE""")," ")</f>
        <v> </v>
      </c>
      <c r="I744" s="66" t="str">
        <f>IFERROR(__xludf.DUMMYFUNCTION("""COMPUTED_VALUE""")," ")</f>
        <v> </v>
      </c>
      <c r="J744" s="62" t="str">
        <f>IFERROR(__xludf.DUMMYFUNCTION("""COMPUTED_VALUE""")," ")</f>
        <v> </v>
      </c>
      <c r="K744" s="59" t="str">
        <f>IFERROR(__xludf.DUMMYFUNCTION("""COMPUTED_VALUE""")," ")</f>
        <v> </v>
      </c>
      <c r="L744" s="87" t="str">
        <f>IFERROR(__xludf.DUMMYFUNCTION("""COMPUTED_VALUE""")," ")</f>
        <v> </v>
      </c>
      <c r="M744" s="64" t="str">
        <f>IFERROR(__xludf.DUMMYFUNCTION("""COMPUTED_VALUE"""),"U: [1/3 W]; W: [1:1, $11.5]")</f>
        <v>U: [1/3 W]; W: [1:1, $11.5]</v>
      </c>
      <c r="N744" s="65" t="str">
        <f>IFERROR(__xludf.DUMMYFUNCTION("""COMPUTED_VALUE"""),"")</f>
        <v/>
      </c>
      <c r="O744" s="66" t="str">
        <f>IFERROR(__xludf.DUMMYFUNCTION("""COMPUTED_VALUE"""),"")</f>
        <v/>
      </c>
      <c r="P744" s="67"/>
      <c r="Q744" s="68">
        <f>IFERROR(__xludf.DUMMYFUNCTION("""COMPUTED_VALUE"""),175.0)</f>
        <v>175</v>
      </c>
      <c r="R744" s="69" t="str">
        <f>IFERROR(__xludf.DUMMYFUNCTION("""COMPUTED_VALUE"""),"Deutsche Bank Securities")</f>
        <v>Deutsche Bank Securities</v>
      </c>
      <c r="S744" s="64">
        <f>IFERROR(__xludf.DUMMYFUNCTION("""COMPUTED_VALUE"""),45086.0)</f>
        <v>45086</v>
      </c>
      <c r="T744" s="70" t="str">
        <f>IFERROR(__xludf.DUMMYFUNCTION("""COMPUTED_VALUE"""),"")</f>
        <v/>
      </c>
      <c r="U744" s="71" t="str">
        <f>IFERROR(__xludf.DUMMYFUNCTION("""COMPUTED_VALUE"""),"https://www.sec.gov/cgi-bin/browse-edgar?CIK=1845865")</f>
        <v>https://www.sec.gov/cgi-bin/browse-edgar?CIK=1845865</v>
      </c>
      <c r="V744" s="72" t="str">
        <f>IFERROR(__xludf.DUMMYFUNCTION("""COMPUTED_VALUE"""),"            ")</f>
        <v>            </v>
      </c>
      <c r="W744" s="73"/>
      <c r="X744" s="74"/>
      <c r="Y744" s="75"/>
      <c r="Z744" s="60"/>
      <c r="AA744" s="60"/>
      <c r="AB744" s="60"/>
      <c r="AC744" s="60"/>
      <c r="AD744" s="73"/>
      <c r="AE744" s="73"/>
      <c r="AF744" s="76"/>
      <c r="AG744" s="60"/>
    </row>
    <row r="745">
      <c r="A745" s="54" t="str">
        <f>IFERROR(__xludf.DUMMYFUNCTION("""COMPUTED_VALUE"""),"TWLV")</f>
        <v>TWLV</v>
      </c>
      <c r="B745" s="55" t="str">
        <f>IFERROR(__xludf.DUMMYFUNCTION("""COMPUTED_VALUE"""),"Twelve Seas Investment Co. II")</f>
        <v>Twelve Seas Investment Co. II</v>
      </c>
      <c r="C745" s="56" t="str">
        <f>IFERROR(__xludf.DUMMYFUNCTION("""COMPUTED_VALUE"""),"Searching (Pre Unit Split)")</f>
        <v>Searching (Pre Unit Split)</v>
      </c>
      <c r="D745" s="77" t="str">
        <f>IFERROR(__xludf.DUMMYFUNCTION("""COMPUTED_VALUE"""),"Non-US, focus in Pan-Eurasian region (incl: Western Europe, Eastern Europe &amp; Middle East)")</f>
        <v>Non-US, focus in Pan-Eurasian region (incl: Western Europe, Eastern Europe &amp; Middle East)</v>
      </c>
      <c r="E745" s="58"/>
      <c r="F745" s="59"/>
      <c r="G745" s="60">
        <f>IFERROR(__xludf.DUMMYFUNCTION("""COMPUTED_VALUE"""),3.0E8)</f>
        <v>300000000</v>
      </c>
      <c r="H745" s="60" t="str">
        <f>IFERROR(__xludf.DUMMYFUNCTION("""COMPUTED_VALUE""")," ")</f>
        <v> </v>
      </c>
      <c r="I745" s="66" t="str">
        <f>IFERROR(__xludf.DUMMYFUNCTION("""COMPUTED_VALUE""")," ")</f>
        <v> </v>
      </c>
      <c r="J745" s="62" t="str">
        <f>IFERROR(__xludf.DUMMYFUNCTION("""COMPUTED_VALUE""")," ")</f>
        <v> </v>
      </c>
      <c r="K745" s="59">
        <f>IFERROR(__xludf.DUMMYFUNCTION("""COMPUTED_VALUE"""),9.95)</f>
        <v>9.95</v>
      </c>
      <c r="L745" s="87" t="str">
        <f>IFERROR(__xludf.DUMMYFUNCTION("""COMPUTED_VALUE""")," ")</f>
        <v> </v>
      </c>
      <c r="M745" s="64" t="str">
        <f>IFERROR(__xludf.DUMMYFUNCTION("""COMPUTED_VALUE"""),"U: [1/3 W]; W: [1:1, $11.5]")</f>
        <v>U: [1/3 W]; W: [1:1, $11.5]</v>
      </c>
      <c r="N745" s="65">
        <f>IFERROR(__xludf.DUMMYFUNCTION("""COMPUTED_VALUE"""),44304.0)</f>
        <v>44304</v>
      </c>
      <c r="O745" s="66" t="str">
        <f>IFERROR(__xludf.DUMMYFUNCTION("""COMPUTED_VALUE"""),"")</f>
        <v/>
      </c>
      <c r="P745" s="67">
        <f>IFERROR(__xludf.DUMMYFUNCTION("""COMPUTED_VALUE"""),44252.0)</f>
        <v>44252</v>
      </c>
      <c r="Q745" s="68">
        <f>IFERROR(__xludf.DUMMYFUNCTION("""COMPUTED_VALUE"""),300.0)</f>
        <v>300</v>
      </c>
      <c r="R745" s="69" t="str">
        <f>IFERROR(__xludf.DUMMYFUNCTION("""COMPUTED_VALUE"""),"Mizuho Securities")</f>
        <v>Mizuho Securities</v>
      </c>
      <c r="S745" s="64">
        <f>IFERROR(__xludf.DUMMYFUNCTION("""COMPUTED_VALUE"""),44982.0)</f>
        <v>44982</v>
      </c>
      <c r="T745" s="70">
        <f>IFERROR(__xludf.DUMMYFUNCTION("""COMPUTED_VALUE"""),0.06027397260273973)</f>
        <v>0.0602739726</v>
      </c>
      <c r="U745" s="71" t="str">
        <f>IFERROR(__xludf.DUMMYFUNCTION("""COMPUTED_VALUE"""),"https://www.sec.gov/cgi-bin/browse-edgar?CIK=1819498")</f>
        <v>https://www.sec.gov/cgi-bin/browse-edgar?CIK=1819498</v>
      </c>
      <c r="V745" s="72" t="str">
        <f>IFERROR(__xludf.DUMMYFUNCTION("""COMPUTED_VALUE"""),"            ")</f>
        <v>            </v>
      </c>
      <c r="W745" s="73"/>
      <c r="X745" s="74"/>
      <c r="Y745" s="75"/>
      <c r="Z745" s="60"/>
      <c r="AA745" s="60"/>
      <c r="AB745" s="60"/>
      <c r="AC745" s="60"/>
      <c r="AD745" s="73"/>
      <c r="AE745" s="73"/>
      <c r="AF745" s="76"/>
      <c r="AG745" s="60" t="str">
        <f>IFERROR(__xludf.DUMMYFUNCTION("""COMPUTED_VALUE"""),"")</f>
        <v/>
      </c>
    </row>
    <row r="746">
      <c r="A746" s="54" t="str">
        <f>IFERROR(__xludf.DUMMYFUNCTION("""COMPUTED_VALUE"""),"TWND")</f>
        <v>TWND</v>
      </c>
      <c r="B746" s="55" t="str">
        <f>IFERROR(__xludf.DUMMYFUNCTION("""COMPUTED_VALUE"""),"Tailwind Acquisition Corp.")</f>
        <v>Tailwind Acquisition Corp.</v>
      </c>
      <c r="C746" s="56" t="str">
        <f>IFERROR(__xludf.DUMMYFUNCTION("""COMPUTED_VALUE"""),"Definitive Agreement")</f>
        <v>Definitive Agreement</v>
      </c>
      <c r="D746" s="57" t="str">
        <f>IFERROR(__xludf.DUMMYFUNCTION("""COMPUTED_VALUE"""),"Tech, Consumer Internet, Digital Media, Marketing Tech")</f>
        <v>Tech, Consumer Internet, Digital Media, Marketing Tech</v>
      </c>
      <c r="E746" s="58" t="str">
        <f>IFERROR(__xludf.DUMMYFUNCTION("""COMPUTED_VALUE"""),"QOMPLX [DA: 03/01/21]")</f>
        <v>QOMPLX [DA: 03/01/21]</v>
      </c>
      <c r="F746" s="59" t="str">
        <f>IFERROR(__xludf.DUMMYFUNCTION("""COMPUTED_VALUE"""),"Philip Krim (Founder &amp; CEO, Casper Sleep), Neha Parikh (Former President of 
Hotwire, Board Member of Carvana)")</f>
        <v>Philip Krim (Founder &amp; CEO, Casper Sleep), Neha Parikh (Former President of 
Hotwire, Board Member of Carvana)</v>
      </c>
      <c r="G746" s="60">
        <f>IFERROR(__xludf.DUMMYFUNCTION("""COMPUTED_VALUE"""),3.342157E8)</f>
        <v>334215700</v>
      </c>
      <c r="H746" s="60">
        <f>IFERROR(__xludf.DUMMYFUNCTION("""COMPUTED_VALUE"""),3.35218347E8)</f>
        <v>335218347</v>
      </c>
      <c r="I746" s="66">
        <f>IFERROR(__xludf.DUMMYFUNCTION("""COMPUTED_VALUE"""),10.03)</f>
        <v>10.03</v>
      </c>
      <c r="J746" s="62">
        <f>IFERROR(__xludf.DUMMYFUNCTION("""COMPUTED_VALUE"""),0.003)</f>
        <v>0.003</v>
      </c>
      <c r="K746" s="59">
        <f>IFERROR(__xludf.DUMMYFUNCTION("""COMPUTED_VALUE"""),10.685)</f>
        <v>10.685</v>
      </c>
      <c r="L746" s="87">
        <f>IFERROR(__xludf.DUMMYFUNCTION("""COMPUTED_VALUE"""),1.09)</f>
        <v>1.09</v>
      </c>
      <c r="M746" s="64" t="str">
        <f>IFERROR(__xludf.DUMMYFUNCTION("""COMPUTED_VALUE"""),"U: [1/2 W]; W: [1:1, $11.5]")</f>
        <v>U: [1/2 W]; W: [1:1, $11.5]</v>
      </c>
      <c r="N746" s="65" t="str">
        <f>IFERROR(__xludf.DUMMYFUNCTION("""COMPUTED_VALUE"""),"")</f>
        <v/>
      </c>
      <c r="O746" s="66">
        <f>IFERROR(__xludf.DUMMYFUNCTION("""COMPUTED_VALUE"""),0.0)</f>
        <v>0</v>
      </c>
      <c r="P746" s="67">
        <f>IFERROR(__xludf.DUMMYFUNCTION("""COMPUTED_VALUE"""),44078.0)</f>
        <v>44078</v>
      </c>
      <c r="Q746" s="68">
        <f>IFERROR(__xludf.DUMMYFUNCTION("""COMPUTED_VALUE"""),334.2157)</f>
        <v>334.2157</v>
      </c>
      <c r="R746" s="69" t="str">
        <f>IFERROR(__xludf.DUMMYFUNCTION("""COMPUTED_VALUE"""),"Jefferies")</f>
        <v>Jefferies</v>
      </c>
      <c r="S746" s="64">
        <f>IFERROR(__xludf.DUMMYFUNCTION("""COMPUTED_VALUE"""),44808.0)</f>
        <v>44808</v>
      </c>
      <c r="T746" s="70">
        <f>IFERROR(__xludf.DUMMYFUNCTION("""COMPUTED_VALUE"""),0.29863013698630136)</f>
        <v>0.298630137</v>
      </c>
      <c r="U746" s="71" t="str">
        <f>IFERROR(__xludf.DUMMYFUNCTION("""COMPUTED_VALUE"""),"https://www.sec.gov/cgi-bin/browse-edgar?CIK=1814215")</f>
        <v>https://www.sec.gov/cgi-bin/browse-edgar?CIK=1814215</v>
      </c>
      <c r="V746" s="72" t="str">
        <f>IFERROR(__xludf.DUMMYFUNCTION("""COMPUTED_VALUE"""),"         Well-known Sponsor Serial Sponsor  ")</f>
        <v>         Well-known Sponsor Serial Sponsor  </v>
      </c>
      <c r="W746" s="73">
        <f>IFERROR(__xludf.DUMMYFUNCTION("""COMPUTED_VALUE"""),44256.0)</f>
        <v>44256</v>
      </c>
      <c r="X746" s="79">
        <f>IFERROR(__xludf.DUMMYFUNCTION("""COMPUTED_VALUE"""),5.933333333333334)</f>
        <v>5.933333333</v>
      </c>
      <c r="Y746" s="80" t="str">
        <f>IFERROR(__xludf.DUMMYFUNCTION("""COMPUTED_VALUE"""),"https://www.businesswire.com/news/home/20210301006049/en/QOMPLX-a-Leader-in-Cloud-Native-Risk-Analytics-Elects-to-Become-a-Public-Company-Through-a-Merger-with-Tailwind-Acquisition-Corp")</f>
        <v>https://www.businesswire.com/news/home/20210301006049/en/QOMPLX-a-Leader-in-Cloud-Native-Risk-Analytics-Elects-to-Become-a-Public-Company-Through-a-Merger-with-Tailwind-Acquisition-Corp</v>
      </c>
      <c r="Z746" s="81" t="str">
        <f>IFERROR(__xludf.DUMMYFUNCTION("""COMPUTED_VALUE"""),"https://www.sec.gov/Archives/edgar/data/1814215/000110465921030358/tm218267d1_ex99-2.htm")</f>
        <v>https://www.sec.gov/Archives/edgar/data/1814215/000110465921030358/tm218267d1_ex99-2.htm</v>
      </c>
      <c r="AA746" s="60">
        <f>IFERROR(__xludf.DUMMYFUNCTION("""COMPUTED_VALUE"""),1.8E8)</f>
        <v>180000000</v>
      </c>
      <c r="AB746" s="60">
        <f>IFERROR(__xludf.DUMMYFUNCTION("""COMPUTED_VALUE"""),1.448E9)</f>
        <v>1448000000</v>
      </c>
      <c r="AC746" s="60">
        <f>IFERROR(__xludf.DUMMYFUNCTION("""COMPUTED_VALUE"""),1.173E9)</f>
        <v>1173000000</v>
      </c>
      <c r="AD746" s="73"/>
      <c r="AE746" s="73"/>
      <c r="AF746" s="76">
        <f>IFERROR(__xludf.DUMMYFUNCTION("""COMPUTED_VALUE"""),1.448E8)</f>
        <v>144800000</v>
      </c>
      <c r="AG746" s="60">
        <f>IFERROR(__xludf.DUMMYFUNCTION("""COMPUTED_VALUE"""),1.452344E9)</f>
        <v>1452344000</v>
      </c>
    </row>
    <row r="747">
      <c r="A747" s="54" t="str">
        <f>IFERROR(__xludf.DUMMYFUNCTION("""COMPUTED_VALUE"""),"TWNI")</f>
        <v>TWNI</v>
      </c>
      <c r="B747" s="55" t="str">
        <f>IFERROR(__xludf.DUMMYFUNCTION("""COMPUTED_VALUE"""),"Tailwind International Acquisition Corp.")</f>
        <v>Tailwind International Acquisition Corp.</v>
      </c>
      <c r="C747" s="56" t="str">
        <f>IFERROR(__xludf.DUMMYFUNCTION("""COMPUTED_VALUE"""),"Searching")</f>
        <v>Searching</v>
      </c>
      <c r="D747" s="57" t="str">
        <f>IFERROR(__xludf.DUMMYFUNCTION("""COMPUTED_VALUE"""),"Consumer Internet, Tech outside of US (Focus on Europe)")</f>
        <v>Consumer Internet, Tech outside of US (Focus on Europe)</v>
      </c>
      <c r="E747" s="58"/>
      <c r="F747" s="59" t="str">
        <f>IFERROR(__xludf.DUMMYFUNCTION("""COMPUTED_VALUE"""),"Philip Krim (Founder &amp; CEO, Casper Sleep), Pierre Denis (Fmr CEO, Jimmy Choo)")</f>
        <v>Philip Krim (Founder &amp; CEO, Casper Sleep), Pierre Denis (Fmr CEO, Jimmy Choo)</v>
      </c>
      <c r="G747" s="60">
        <f>IFERROR(__xludf.DUMMYFUNCTION("""COMPUTED_VALUE"""),3.45E8)</f>
        <v>345000000</v>
      </c>
      <c r="H747" s="60"/>
      <c r="I747" s="66">
        <f>IFERROR(__xludf.DUMMYFUNCTION("""COMPUTED_VALUE"""),9.85)</f>
        <v>9.85</v>
      </c>
      <c r="J747" s="62" t="str">
        <f>IFERROR(__xludf.DUMMYFUNCTION("""COMPUTED_VALUE""")," ")</f>
        <v> </v>
      </c>
      <c r="K747" s="59">
        <f>IFERROR(__xludf.DUMMYFUNCTION("""COMPUTED_VALUE"""),10.0)</f>
        <v>10</v>
      </c>
      <c r="L747" s="87">
        <f>IFERROR(__xludf.DUMMYFUNCTION("""COMPUTED_VALUE"""),0.9)</f>
        <v>0.9</v>
      </c>
      <c r="M747" s="64" t="str">
        <f>IFERROR(__xludf.DUMMYFUNCTION("""COMPUTED_VALUE"""),"U: [1/3 W]; W: [1:1, $11.5]")</f>
        <v>U: [1/3 W]; W: [1:1, $11.5]</v>
      </c>
      <c r="N747" s="65">
        <f>IFERROR(__xludf.DUMMYFUNCTION("""COMPUTED_VALUE"""),44295.0)</f>
        <v>44295</v>
      </c>
      <c r="O747" s="66">
        <f>IFERROR(__xludf.DUMMYFUNCTION("""COMPUTED_VALUE"""),0.0)</f>
        <v>0</v>
      </c>
      <c r="P747" s="67">
        <f>IFERROR(__xludf.DUMMYFUNCTION("""COMPUTED_VALUE"""),44245.0)</f>
        <v>44245</v>
      </c>
      <c r="Q747" s="68">
        <f>IFERROR(__xludf.DUMMYFUNCTION("""COMPUTED_VALUE"""),345.0)</f>
        <v>345</v>
      </c>
      <c r="R747" s="69" t="str">
        <f>IFERROR(__xludf.DUMMYFUNCTION("""COMPUTED_VALUE"""),"Jefferies")</f>
        <v>Jefferies</v>
      </c>
      <c r="S747" s="64">
        <f>IFERROR(__xludf.DUMMYFUNCTION("""COMPUTED_VALUE"""),44975.0)</f>
        <v>44975</v>
      </c>
      <c r="T747" s="70">
        <f>IFERROR(__xludf.DUMMYFUNCTION("""COMPUTED_VALUE"""),0.06986301369863014)</f>
        <v>0.0698630137</v>
      </c>
      <c r="U747" s="71" t="str">
        <f>IFERROR(__xludf.DUMMYFUNCTION("""COMPUTED_VALUE"""),"https://www.sec.gov/cgi-bin/browse-edgar?CIK=1835881")</f>
        <v>https://www.sec.gov/cgi-bin/browse-edgar?CIK=1835881</v>
      </c>
      <c r="V747" s="72" t="str">
        <f>IFERROR(__xludf.DUMMYFUNCTION("""COMPUTED_VALUE""")," Trading Below $10 (Common)        Well-known Sponsor Serial Sponsor  ")</f>
        <v> Trading Below $10 (Common)        Well-known Sponsor Serial Sponsor  </v>
      </c>
      <c r="W747" s="73"/>
      <c r="X747" s="74"/>
      <c r="Y747" s="75"/>
      <c r="Z747" s="60"/>
      <c r="AA747" s="60"/>
      <c r="AB747" s="60"/>
      <c r="AC747" s="60"/>
      <c r="AD747" s="73"/>
      <c r="AE747" s="73"/>
      <c r="AF747" s="76"/>
      <c r="AG747" s="60" t="str">
        <f>IFERROR(__xludf.DUMMYFUNCTION("""COMPUTED_VALUE"""),"")</f>
        <v/>
      </c>
    </row>
    <row r="748">
      <c r="A748" s="88" t="str">
        <f>IFERROR(__xludf.DUMMYFUNCTION("""COMPUTED_VALUE"""),"TWNT")</f>
        <v>TWNT</v>
      </c>
      <c r="B748" s="55" t="str">
        <f>IFERROR(__xludf.DUMMYFUNCTION("""COMPUTED_VALUE"""),"Tailwind Two Acquisition Corp.")</f>
        <v>Tailwind Two Acquisition Corp.</v>
      </c>
      <c r="C748" s="56" t="str">
        <f>IFERROR(__xludf.DUMMYFUNCTION("""COMPUTED_VALUE"""),"Searching (Pre Unit Split)")</f>
        <v>Searching (Pre Unit Split)</v>
      </c>
      <c r="D748" s="57" t="str">
        <f>IFERROR(__xludf.DUMMYFUNCTION("""COMPUTED_VALUE"""),"Tech")</f>
        <v>Tech</v>
      </c>
      <c r="E748" s="58"/>
      <c r="F748" s="59" t="str">
        <f>IFERROR(__xludf.DUMMYFUNCTION("""COMPUTED_VALUE"""),"Philip Krim (Founder &amp; CEO, Casper Sleep), Chris Hollod (Fmr Managing Partner, A-Grade Investments) ")</f>
        <v>Philip Krim (Founder &amp; CEO, Casper Sleep), Chris Hollod (Fmr Managing Partner, A-Grade Investments) </v>
      </c>
      <c r="G748" s="60">
        <f>IFERROR(__xludf.DUMMYFUNCTION("""COMPUTED_VALUE"""),3.45E8)</f>
        <v>345000000</v>
      </c>
      <c r="H748" s="60" t="str">
        <f>IFERROR(__xludf.DUMMYFUNCTION("""COMPUTED_VALUE""")," ")</f>
        <v> </v>
      </c>
      <c r="I748" s="66" t="str">
        <f>IFERROR(__xludf.DUMMYFUNCTION("""COMPUTED_VALUE""")," ")</f>
        <v> </v>
      </c>
      <c r="J748" s="62" t="str">
        <f>IFERROR(__xludf.DUMMYFUNCTION("""COMPUTED_VALUE""")," ")</f>
        <v> </v>
      </c>
      <c r="K748" s="59">
        <f>IFERROR(__xludf.DUMMYFUNCTION("""COMPUTED_VALUE"""),10.1)</f>
        <v>10.1</v>
      </c>
      <c r="L748" s="87" t="str">
        <f>IFERROR(__xludf.DUMMYFUNCTION("""COMPUTED_VALUE""")," ")</f>
        <v> </v>
      </c>
      <c r="M748" s="64" t="str">
        <f>IFERROR(__xludf.DUMMYFUNCTION("""COMPUTED_VALUE"""),"U: [1/3 W]; W: [1:1, $11.5]")</f>
        <v>U: [1/3 W]; W: [1:1, $11.5]</v>
      </c>
      <c r="N748" s="65">
        <f>IFERROR(__xludf.DUMMYFUNCTION("""COMPUTED_VALUE"""),44312.0)</f>
        <v>44312</v>
      </c>
      <c r="O748" s="66" t="str">
        <f>IFERROR(__xludf.DUMMYFUNCTION("""COMPUTED_VALUE"""),"")</f>
        <v/>
      </c>
      <c r="P748" s="67">
        <f>IFERROR(__xludf.DUMMYFUNCTION("""COMPUTED_VALUE"""),44260.0)</f>
        <v>44260</v>
      </c>
      <c r="Q748" s="68">
        <f>IFERROR(__xludf.DUMMYFUNCTION("""COMPUTED_VALUE"""),345.0)</f>
        <v>345</v>
      </c>
      <c r="R748" s="69" t="str">
        <f>IFERROR(__xludf.DUMMYFUNCTION("""COMPUTED_VALUE"""),"UBS Investment Bank")</f>
        <v>UBS Investment Bank</v>
      </c>
      <c r="S748" s="64">
        <f>IFERROR(__xludf.DUMMYFUNCTION("""COMPUTED_VALUE"""),44990.0)</f>
        <v>44990</v>
      </c>
      <c r="T748" s="70">
        <f>IFERROR(__xludf.DUMMYFUNCTION("""COMPUTED_VALUE"""),0.049315068493150684)</f>
        <v>0.04931506849</v>
      </c>
      <c r="U748" s="71" t="str">
        <f>IFERROR(__xludf.DUMMYFUNCTION("""COMPUTED_VALUE"""),"https://www.sec.gov/cgi-bin/browse-edgar?CIK=1835512")</f>
        <v>https://www.sec.gov/cgi-bin/browse-edgar?CIK=1835512</v>
      </c>
      <c r="V748" s="72" t="str">
        <f>IFERROR(__xludf.DUMMYFUNCTION("""COMPUTED_VALUE"""),"         Well-known Sponsor Serial Sponsor  ")</f>
        <v>         Well-known Sponsor Serial Sponsor  </v>
      </c>
      <c r="W748" s="73"/>
      <c r="X748" s="74"/>
      <c r="Y748" s="75"/>
      <c r="Z748" s="60"/>
      <c r="AA748" s="60"/>
      <c r="AB748" s="60"/>
      <c r="AC748" s="60"/>
      <c r="AD748" s="73"/>
      <c r="AE748" s="73"/>
      <c r="AF748" s="76"/>
      <c r="AG748" s="60"/>
    </row>
    <row r="749">
      <c r="A749" s="88" t="str">
        <f>IFERROR(__xludf.DUMMYFUNCTION("""COMPUTED_VALUE"""),"TWOA")</f>
        <v>TWOA</v>
      </c>
      <c r="B749" s="55" t="str">
        <f>IFERROR(__xludf.DUMMYFUNCTION("""COMPUTED_VALUE"""),"two")</f>
        <v>two</v>
      </c>
      <c r="C749" s="56" t="str">
        <f>IFERROR(__xludf.DUMMYFUNCTION("""COMPUTED_VALUE"""),"Searching")</f>
        <v>Searching</v>
      </c>
      <c r="D749" s="57" t="str">
        <f>IFERROR(__xludf.DUMMYFUNCTION("""COMPUTED_VALUE"""),"Tech")</f>
        <v>Tech</v>
      </c>
      <c r="E749" s="58"/>
      <c r="F749" s="59" t="str">
        <f>IFERROR(__xludf.DUMMYFUNCTION("""COMPUTED_VALUE"""),"Kevin Hartz (Co-Founder, Chairman, &amp; Former CEO of Eventbrite, and Co-founder &amp; Former CEO of Xoom), Gautam Gupta (Former CFO &amp; COO of Opendoor.com), Pierre Lamond (Former General Partner at Sequoia Capital, Former Chairman of Cypress Semiconductor, and F"&amp;"ormer General Partner at Khosla Ventures)")</f>
        <v>Kevin Hartz (Co-Founder, Chairman, &amp; Former CEO of Eventbrite, and Co-founder &amp; Former CEO of Xoom), Gautam Gupta (Former CFO &amp; COO of Opendoor.com), Pierre Lamond (Former General Partner at Sequoia Capital, Former Chairman of Cypress Semiconductor, and Former General Partner at Khosla Ventures)</v>
      </c>
      <c r="G749" s="60">
        <f>IFERROR(__xludf.DUMMYFUNCTION("""COMPUTED_VALUE"""),2.06E8)</f>
        <v>206000000</v>
      </c>
      <c r="H749" s="60"/>
      <c r="I749" s="66">
        <f>IFERROR(__xludf.DUMMYFUNCTION("""COMPUTED_VALUE"""),10.0)</f>
        <v>10</v>
      </c>
      <c r="J749" s="62">
        <f>IFERROR(__xludf.DUMMYFUNCTION("""COMPUTED_VALUE"""),0.002)</f>
        <v>0.002</v>
      </c>
      <c r="K749" s="59" t="str">
        <f>IFERROR(__xludf.DUMMYFUNCTION("""COMPUTED_VALUE""")," ")</f>
        <v> </v>
      </c>
      <c r="L749" s="87" t="str">
        <f>IFERROR(__xludf.DUMMYFUNCTION("""COMPUTED_VALUE""")," ")</f>
        <v> </v>
      </c>
      <c r="M749" s="64" t="str">
        <f>IFERROR(__xludf.DUMMYFUNCTION("""COMPUTED_VALUE"""),"U: [No Units]; W: [No Warrants]")</f>
        <v>U: [No Units]; W: [No Warrants]</v>
      </c>
      <c r="N749" s="65" t="str">
        <f>IFERROR(__xludf.DUMMYFUNCTION("""COMPUTED_VALUE"""),"")</f>
        <v/>
      </c>
      <c r="O749" s="66">
        <f>IFERROR(__xludf.DUMMYFUNCTION("""COMPUTED_VALUE"""),0.0)</f>
        <v>0</v>
      </c>
      <c r="P749" s="67">
        <f>IFERROR(__xludf.DUMMYFUNCTION("""COMPUTED_VALUE"""),44285.0)</f>
        <v>44285</v>
      </c>
      <c r="Q749" s="68">
        <f>IFERROR(__xludf.DUMMYFUNCTION("""COMPUTED_VALUE"""),206.0)</f>
        <v>206</v>
      </c>
      <c r="R749" s="69" t="str">
        <f>IFERROR(__xludf.DUMMYFUNCTION("""COMPUTED_VALUE"""),"Citigroup")</f>
        <v>Citigroup</v>
      </c>
      <c r="S749" s="64">
        <f>IFERROR(__xludf.DUMMYFUNCTION("""COMPUTED_VALUE"""),45015.0)</f>
        <v>45015</v>
      </c>
      <c r="T749" s="70">
        <f>IFERROR(__xludf.DUMMYFUNCTION("""COMPUTED_VALUE"""),0.015068493150684932)</f>
        <v>0.01506849315</v>
      </c>
      <c r="U749" s="71" t="str">
        <f>IFERROR(__xludf.DUMMYFUNCTION("""COMPUTED_VALUE"""),"https://www.sec.gov/cgi-bin/browse-edgar?CIK=1843988")</f>
        <v>https://www.sec.gov/cgi-bin/browse-edgar?CIK=1843988</v>
      </c>
      <c r="V749" s="72" t="str">
        <f>IFERROR(__xludf.DUMMYFUNCTION("""COMPUTED_VALUE"""),"Venture Capital Trading Below $10 (Common)        Well-known Sponsor  Top Tier UW ")</f>
        <v>Venture Capital Trading Below $10 (Common)        Well-known Sponsor  Top Tier UW </v>
      </c>
      <c r="W749" s="73"/>
      <c r="X749" s="74"/>
      <c r="Y749" s="75"/>
      <c r="Z749" s="60"/>
      <c r="AA749" s="60"/>
      <c r="AB749" s="60"/>
      <c r="AC749" s="60"/>
      <c r="AD749" s="73"/>
      <c r="AE749" s="73"/>
      <c r="AF749" s="76"/>
      <c r="AG749" s="60"/>
    </row>
    <row r="750">
      <c r="A750" s="54" t="str">
        <f>IFERROR(__xludf.DUMMYFUNCTION("""COMPUTED_VALUE"""),"TZPS")</f>
        <v>TZPS</v>
      </c>
      <c r="B750" s="55" t="str">
        <f>IFERROR(__xludf.DUMMYFUNCTION("""COMPUTED_VALUE"""),"TZP Strategies Acquisition Corp.")</f>
        <v>TZP Strategies Acquisition Corp.</v>
      </c>
      <c r="C750" s="56" t="str">
        <f>IFERROR(__xludf.DUMMYFUNCTION("""COMPUTED_VALUE"""),"Searching")</f>
        <v>Searching</v>
      </c>
      <c r="D750" s="57" t="str">
        <f>IFERROR(__xludf.DUMMYFUNCTION("""COMPUTED_VALUE"""),"Tech services, Business services, Consumer Products and Services")</f>
        <v>Tech services, Business services, Consumer Products and Services</v>
      </c>
      <c r="E750" s="58"/>
      <c r="F750" s="59" t="str">
        <f>IFERROR(__xludf.DUMMYFUNCTION("""COMPUTED_VALUE"""),"Kenneth Esterow (Fmr CEO, Bankrate)")</f>
        <v>Kenneth Esterow (Fmr CEO, Bankrate)</v>
      </c>
      <c r="G750" s="60">
        <f>IFERROR(__xludf.DUMMYFUNCTION("""COMPUTED_VALUE"""),2.875E8)</f>
        <v>287500000</v>
      </c>
      <c r="H750" s="60">
        <f>IFERROR(__xludf.DUMMYFUNCTION("""COMPUTED_VALUE"""),2.80758125E8)</f>
        <v>280758125</v>
      </c>
      <c r="I750" s="66">
        <f>IFERROR(__xludf.DUMMYFUNCTION("""COMPUTED_VALUE"""),9.7655)</f>
        <v>9.7655</v>
      </c>
      <c r="J750" s="62">
        <f>IFERROR(__xludf.DUMMYFUNCTION("""COMPUTED_VALUE"""),-0.0025)</f>
        <v>-0.0025</v>
      </c>
      <c r="K750" s="59">
        <f>IFERROR(__xludf.DUMMYFUNCTION("""COMPUTED_VALUE"""),9.9)</f>
        <v>9.9</v>
      </c>
      <c r="L750" s="87">
        <f>IFERROR(__xludf.DUMMYFUNCTION("""COMPUTED_VALUE"""),0.86)</f>
        <v>0.86</v>
      </c>
      <c r="M750" s="64" t="str">
        <f>IFERROR(__xludf.DUMMYFUNCTION("""COMPUTED_VALUE"""),"U: [1/3 W]; W: [1:1, $11.5]")</f>
        <v>U: [1/3 W]; W: [1:1, $11.5]</v>
      </c>
      <c r="N750" s="65" t="str">
        <f>IFERROR(__xludf.DUMMYFUNCTION("""COMPUTED_VALUE"""),"")</f>
        <v/>
      </c>
      <c r="O750" s="66">
        <f>IFERROR(__xludf.DUMMYFUNCTION("""COMPUTED_VALUE"""),0.0)</f>
        <v>0</v>
      </c>
      <c r="P750" s="67">
        <f>IFERROR(__xludf.DUMMYFUNCTION("""COMPUTED_VALUE"""),44215.0)</f>
        <v>44215</v>
      </c>
      <c r="Q750" s="68">
        <f>IFERROR(__xludf.DUMMYFUNCTION("""COMPUTED_VALUE"""),287.5)</f>
        <v>287.5</v>
      </c>
      <c r="R750" s="69" t="str">
        <f>IFERROR(__xludf.DUMMYFUNCTION("""COMPUTED_VALUE"""),"Credit Suisse")</f>
        <v>Credit Suisse</v>
      </c>
      <c r="S750" s="64">
        <f>IFERROR(__xludf.DUMMYFUNCTION("""COMPUTED_VALUE"""),44945.0)</f>
        <v>44945</v>
      </c>
      <c r="T750" s="70">
        <f>IFERROR(__xludf.DUMMYFUNCTION("""COMPUTED_VALUE"""),0.11095890410958904)</f>
        <v>0.1109589041</v>
      </c>
      <c r="U750" s="71" t="str">
        <f>IFERROR(__xludf.DUMMYFUNCTION("""COMPUTED_VALUE"""),"https://www.sec.gov/cgi-bin/browse-edgar?CIK=1823481")</f>
        <v>https://www.sec.gov/cgi-bin/browse-edgar?CIK=1823481</v>
      </c>
      <c r="V750" s="72" t="str">
        <f>IFERROR(__xludf.DUMMYFUNCTION("""COMPUTED_VALUE""")," Trading Below $10 (Common)           ")</f>
        <v> Trading Below $10 (Common)           </v>
      </c>
      <c r="W750" s="73"/>
      <c r="X750" s="74"/>
      <c r="Y750" s="75"/>
      <c r="Z750" s="60"/>
      <c r="AA750" s="60"/>
      <c r="AB750" s="60"/>
      <c r="AC750" s="60"/>
      <c r="AD750" s="73"/>
      <c r="AE750" s="73"/>
      <c r="AF750" s="76"/>
      <c r="AG750" s="60" t="str">
        <f>IFERROR(__xludf.DUMMYFUNCTION("""COMPUTED_VALUE"""),"")</f>
        <v/>
      </c>
    </row>
    <row r="751">
      <c r="A751" s="88" t="str">
        <f>IFERROR(__xludf.DUMMYFUNCTION("""COMPUTED_VALUE"""),"UNOO")</f>
        <v>UNOO</v>
      </c>
      <c r="B751" s="55" t="str">
        <f>IFERROR(__xludf.DUMMYFUNCTION("""COMPUTED_VALUE"""),"1Sharpe Acquisition Corp.")</f>
        <v>1Sharpe Acquisition Corp.</v>
      </c>
      <c r="C751" s="56" t="str">
        <f>IFERROR(__xludf.DUMMYFUNCTION("""COMPUTED_VALUE"""),"Pre IPO")</f>
        <v>Pre IPO</v>
      </c>
      <c r="D751" s="77" t="str">
        <f>IFERROR(__xludf.DUMMYFUNCTION("""COMPUTED_VALUE"""),"PropTech or Fintech")</f>
        <v>PropTech or Fintech</v>
      </c>
      <c r="E751" s="58"/>
      <c r="F751" s="59" t="str">
        <f>IFERROR(__xludf.DUMMYFUNCTION("""COMPUTED_VALUE"""),"Gregor Watson (Co-founder &amp; Chairman of Roofstock)")</f>
        <v>Gregor Watson (Co-founder &amp; Chairman of Roofstock)</v>
      </c>
      <c r="G751" s="60">
        <f>IFERROR(__xludf.DUMMYFUNCTION("""COMPUTED_VALUE"""),2.25E8)</f>
        <v>225000000</v>
      </c>
      <c r="H751" s="60" t="str">
        <f>IFERROR(__xludf.DUMMYFUNCTION("""COMPUTED_VALUE""")," ")</f>
        <v> </v>
      </c>
      <c r="I751" s="66" t="str">
        <f>IFERROR(__xludf.DUMMYFUNCTION("""COMPUTED_VALUE""")," ")</f>
        <v> </v>
      </c>
      <c r="J751" s="62" t="str">
        <f>IFERROR(__xludf.DUMMYFUNCTION("""COMPUTED_VALUE""")," ")</f>
        <v> </v>
      </c>
      <c r="K751" s="59" t="str">
        <f>IFERROR(__xludf.DUMMYFUNCTION("""COMPUTED_VALUE""")," ")</f>
        <v> </v>
      </c>
      <c r="L751" s="87" t="str">
        <f>IFERROR(__xludf.DUMMYFUNCTION("""COMPUTED_VALUE""")," ")</f>
        <v> </v>
      </c>
      <c r="M751" s="64" t="str">
        <f>IFERROR(__xludf.DUMMYFUNCTION("""COMPUTED_VALUE"""),"U: [1/3 W]; W: [1:1, $11.5]")</f>
        <v>U: [1/3 W]; W: [1:1, $11.5]</v>
      </c>
      <c r="N751" s="65" t="str">
        <f>IFERROR(__xludf.DUMMYFUNCTION("""COMPUTED_VALUE"""),"")</f>
        <v/>
      </c>
      <c r="O751" s="66">
        <f>IFERROR(__xludf.DUMMYFUNCTION("""COMPUTED_VALUE"""),0.0)</f>
        <v>0</v>
      </c>
      <c r="P751" s="67"/>
      <c r="Q751" s="68">
        <f>IFERROR(__xludf.DUMMYFUNCTION("""COMPUTED_VALUE"""),225.0)</f>
        <v>225</v>
      </c>
      <c r="R751" s="69" t="str">
        <f>IFERROR(__xludf.DUMMYFUNCTION("""COMPUTED_VALUE"""),"Barclays, Cantor")</f>
        <v>Barclays, Cantor</v>
      </c>
      <c r="S751" s="64">
        <f>IFERROR(__xludf.DUMMYFUNCTION("""COMPUTED_VALUE"""),45086.0)</f>
        <v>45086</v>
      </c>
      <c r="T751" s="70" t="str">
        <f>IFERROR(__xludf.DUMMYFUNCTION("""COMPUTED_VALUE"""),"")</f>
        <v/>
      </c>
      <c r="U751" s="71" t="str">
        <f>IFERROR(__xludf.DUMMYFUNCTION("""COMPUTED_VALUE"""),"https://www.sec.gov/cgi-bin/browse-edgar?CIK=1849470")</f>
        <v>https://www.sec.gov/cgi-bin/browse-edgar?CIK=1849470</v>
      </c>
      <c r="V751" s="72" t="str">
        <f>IFERROR(__xludf.DUMMYFUNCTION("""COMPUTED_VALUE"""),"            ")</f>
        <v>            </v>
      </c>
      <c r="W751" s="73"/>
      <c r="X751" s="74"/>
      <c r="Y751" s="75"/>
      <c r="Z751" s="60"/>
      <c r="AA751" s="60"/>
      <c r="AB751" s="60"/>
      <c r="AC751" s="60"/>
      <c r="AD751" s="73"/>
      <c r="AE751" s="73"/>
      <c r="AF751" s="76"/>
      <c r="AG751" s="60"/>
    </row>
    <row r="752">
      <c r="A752" s="88" t="str">
        <f>IFERROR(__xludf.DUMMYFUNCTION("""COMPUTED_VALUE"""),"UPTD")</f>
        <v>UPTD</v>
      </c>
      <c r="B752" s="55" t="str">
        <f>IFERROR(__xludf.DUMMYFUNCTION("""COMPUTED_VALUE"""),"TradeUP Acquisition Corp.")</f>
        <v>TradeUP Acquisition Corp.</v>
      </c>
      <c r="C752" s="56" t="str">
        <f>IFERROR(__xludf.DUMMYFUNCTION("""COMPUTED_VALUE"""),"Pre IPO")</f>
        <v>Pre IPO</v>
      </c>
      <c r="D752" s="77" t="str">
        <f>IFERROR(__xludf.DUMMYFUNCTION("""COMPUTED_VALUE"""),"Tech (automation, energy efficiency, Artificial Intelligence)")</f>
        <v>Tech (automation, energy efficiency, Artificial Intelligence)</v>
      </c>
      <c r="E752" s="58"/>
      <c r="F752" s="59"/>
      <c r="G752" s="60">
        <f>IFERROR(__xludf.DUMMYFUNCTION("""COMPUTED_VALUE"""),4.0E7)</f>
        <v>40000000</v>
      </c>
      <c r="H752" s="60" t="str">
        <f>IFERROR(__xludf.DUMMYFUNCTION("""COMPUTED_VALUE""")," ")</f>
        <v> </v>
      </c>
      <c r="I752" s="66" t="str">
        <f>IFERROR(__xludf.DUMMYFUNCTION("""COMPUTED_VALUE""")," ")</f>
        <v> </v>
      </c>
      <c r="J752" s="62" t="str">
        <f>IFERROR(__xludf.DUMMYFUNCTION("""COMPUTED_VALUE""")," ")</f>
        <v> </v>
      </c>
      <c r="K752" s="59" t="str">
        <f>IFERROR(__xludf.DUMMYFUNCTION("""COMPUTED_VALUE""")," ")</f>
        <v> </v>
      </c>
      <c r="L752" s="87" t="str">
        <f>IFERROR(__xludf.DUMMYFUNCTION("""COMPUTED_VALUE""")," ")</f>
        <v> </v>
      </c>
      <c r="M752" s="64" t="str">
        <f>IFERROR(__xludf.DUMMYFUNCTION("""COMPUTED_VALUE"""),"U: [1/2 W]; W: [1:1, $11.5]")</f>
        <v>U: [1/2 W]; W: [1:1, $11.5]</v>
      </c>
      <c r="N752" s="65" t="str">
        <f>IFERROR(__xludf.DUMMYFUNCTION("""COMPUTED_VALUE"""),"")</f>
        <v/>
      </c>
      <c r="O752" s="66" t="str">
        <f>IFERROR(__xludf.DUMMYFUNCTION("""COMPUTED_VALUE"""),"")</f>
        <v/>
      </c>
      <c r="P752" s="67"/>
      <c r="Q752" s="68">
        <f>IFERROR(__xludf.DUMMYFUNCTION("""COMPUTED_VALUE"""),40.0)</f>
        <v>40</v>
      </c>
      <c r="R752" s="69" t="str">
        <f>IFERROR(__xludf.DUMMYFUNCTION("""COMPUTED_VALUE"""),"Tiger Brokers, R. F. Lafferty &amp; Co., Inc.")</f>
        <v>Tiger Brokers, R. F. Lafferty &amp; Co., Inc.</v>
      </c>
      <c r="S752" s="64">
        <f>IFERROR(__xludf.DUMMYFUNCTION("""COMPUTED_VALUE"""),45086.0)</f>
        <v>45086</v>
      </c>
      <c r="T752" s="70" t="str">
        <f>IFERROR(__xludf.DUMMYFUNCTION("""COMPUTED_VALUE"""),"")</f>
        <v/>
      </c>
      <c r="U752" s="71" t="str">
        <f>IFERROR(__xludf.DUMMYFUNCTION("""COMPUTED_VALUE"""),"https://www.sec.gov/cgi-bin/browse-edgar?CIK=1844417")</f>
        <v>https://www.sec.gov/cgi-bin/browse-edgar?CIK=1844417</v>
      </c>
      <c r="V752" s="72" t="str">
        <f>IFERROR(__xludf.DUMMYFUNCTION("""COMPUTED_VALUE"""),"            ")</f>
        <v>            </v>
      </c>
      <c r="W752" s="73"/>
      <c r="X752" s="74"/>
      <c r="Y752" s="75"/>
      <c r="Z752" s="60"/>
      <c r="AA752" s="60"/>
      <c r="AB752" s="60"/>
      <c r="AC752" s="60"/>
      <c r="AD752" s="73"/>
      <c r="AE752" s="73"/>
      <c r="AF752" s="76"/>
      <c r="AG752" s="60"/>
    </row>
    <row r="753">
      <c r="A753" s="54" t="str">
        <f>IFERROR(__xludf.DUMMYFUNCTION("""COMPUTED_VALUE"""),"UTXO")</f>
        <v>UTXO</v>
      </c>
      <c r="B753" s="55" t="str">
        <f>IFERROR(__xludf.DUMMYFUNCTION("""COMPUTED_VALUE"""),"UTXO Acquisition")</f>
        <v>UTXO Acquisition</v>
      </c>
      <c r="C753" s="56" t="str">
        <f>IFERROR(__xludf.DUMMYFUNCTION("""COMPUTED_VALUE"""),"Pre IPO")</f>
        <v>Pre IPO</v>
      </c>
      <c r="D753" s="57" t="str">
        <f>IFERROR(__xludf.DUMMYFUNCTION("""COMPUTED_VALUE"""),"Tech")</f>
        <v>Tech</v>
      </c>
      <c r="E753" s="58"/>
      <c r="F753" s="59"/>
      <c r="G753" s="60">
        <f>IFERROR(__xludf.DUMMYFUNCTION("""COMPUTED_VALUE"""),5.0E7)</f>
        <v>50000000</v>
      </c>
      <c r="H753" s="60" t="str">
        <f>IFERROR(__xludf.DUMMYFUNCTION("""COMPUTED_VALUE""")," ")</f>
        <v> </v>
      </c>
      <c r="I753" s="66" t="str">
        <f>IFERROR(__xludf.DUMMYFUNCTION("""COMPUTED_VALUE""")," ")</f>
        <v> </v>
      </c>
      <c r="J753" s="62" t="str">
        <f>IFERROR(__xludf.DUMMYFUNCTION("""COMPUTED_VALUE""")," ")</f>
        <v> </v>
      </c>
      <c r="K753" s="59" t="str">
        <f>IFERROR(__xludf.DUMMYFUNCTION("""COMPUTED_VALUE""")," ")</f>
        <v> </v>
      </c>
      <c r="L753" s="87" t="str">
        <f>IFERROR(__xludf.DUMMYFUNCTION("""COMPUTED_VALUE""")," ")</f>
        <v> </v>
      </c>
      <c r="M753" s="64" t="str">
        <f>IFERROR(__xludf.DUMMYFUNCTION("""COMPUTED_VALUE"""),"U: [1 R (1/20 sh)]; W: [1:1, $11.5]")</f>
        <v>U: [1 R (1/20 sh)]; W: [1:1, $11.5]</v>
      </c>
      <c r="N753" s="65" t="str">
        <f>IFERROR(__xludf.DUMMYFUNCTION("""COMPUTED_VALUE"""),"")</f>
        <v/>
      </c>
      <c r="O753" s="66" t="str">
        <f>IFERROR(__xludf.DUMMYFUNCTION("""COMPUTED_VALUE"""),"")</f>
        <v/>
      </c>
      <c r="P753" s="67"/>
      <c r="Q753" s="68">
        <f>IFERROR(__xludf.DUMMYFUNCTION("""COMPUTED_VALUE"""),50.0)</f>
        <v>50</v>
      </c>
      <c r="R753" s="69" t="str">
        <f>IFERROR(__xludf.DUMMYFUNCTION("""COMPUTED_VALUE"""),"Univest")</f>
        <v>Univest</v>
      </c>
      <c r="S753" s="64">
        <f>IFERROR(__xludf.DUMMYFUNCTION("""COMPUTED_VALUE"""),45086.0)</f>
        <v>45086</v>
      </c>
      <c r="T753" s="70" t="str">
        <f>IFERROR(__xludf.DUMMYFUNCTION("""COMPUTED_VALUE"""),"")</f>
        <v/>
      </c>
      <c r="U753" s="71" t="str">
        <f>IFERROR(__xludf.DUMMYFUNCTION("""COMPUTED_VALUE"""),"https://www.sec.gov/cgi-bin/browse-edgar?CIK=1793081")</f>
        <v>https://www.sec.gov/cgi-bin/browse-edgar?CIK=1793081</v>
      </c>
      <c r="V753" s="72" t="str">
        <f>IFERROR(__xludf.DUMMYFUNCTION("""COMPUTED_VALUE"""),"       Has Rights     ")</f>
        <v>       Has Rights     </v>
      </c>
      <c r="W753" s="73"/>
      <c r="X753" s="74"/>
      <c r="Y753" s="75"/>
      <c r="Z753" s="60"/>
      <c r="AA753" s="60"/>
      <c r="AB753" s="60"/>
      <c r="AC753" s="60"/>
      <c r="AD753" s="73"/>
      <c r="AE753" s="73"/>
      <c r="AF753" s="76"/>
      <c r="AG753" s="60" t="str">
        <f>IFERROR(__xludf.DUMMYFUNCTION("""COMPUTED_VALUE"""),"")</f>
        <v/>
      </c>
    </row>
    <row r="754">
      <c r="A754" s="88" t="str">
        <f>IFERROR(__xludf.DUMMYFUNCTION("""COMPUTED_VALUE"""),"VACI")</f>
        <v>VACI</v>
      </c>
      <c r="B754" s="55" t="str">
        <f>IFERROR(__xludf.DUMMYFUNCTION("""COMPUTED_VALUE"""),"Victory Acquisition Corp.")</f>
        <v>Victory Acquisition Corp.</v>
      </c>
      <c r="C754" s="56" t="str">
        <f>IFERROR(__xludf.DUMMYFUNCTION("""COMPUTED_VALUE"""),"Pre IPO")</f>
        <v>Pre IPO</v>
      </c>
      <c r="D754" s="77" t="str">
        <f>IFERROR(__xludf.DUMMYFUNCTION("""COMPUTED_VALUE"""),"Media, sports, and entertainment")</f>
        <v>Media, sports, and entertainment</v>
      </c>
      <c r="E754" s="58"/>
      <c r="F754" s="59" t="str">
        <f>IFERROR(__xludf.DUMMYFUNCTION("""COMPUTED_VALUE"""),"James Lites (Exec Chairman, Dallas Stars), Sammy Hagar (Frontman, Van Halen; Founder, Cabo Wabo Cantina &amp; Tequila), Roger Staubach (Pro Football Hall of Famer; Fmr Exec Chairman, JLL Americas)")</f>
        <v>James Lites (Exec Chairman, Dallas Stars), Sammy Hagar (Frontman, Van Halen; Founder, Cabo Wabo Cantina &amp; Tequila), Roger Staubach (Pro Football Hall of Famer; Fmr Exec Chairman, JLL Americas)</v>
      </c>
      <c r="G754" s="60">
        <f>IFERROR(__xludf.DUMMYFUNCTION("""COMPUTED_VALUE"""),2.5E8)</f>
        <v>250000000</v>
      </c>
      <c r="H754" s="60" t="str">
        <f>IFERROR(__xludf.DUMMYFUNCTION("""COMPUTED_VALUE""")," ")</f>
        <v> </v>
      </c>
      <c r="I754" s="66" t="str">
        <f>IFERROR(__xludf.DUMMYFUNCTION("""COMPUTED_VALUE""")," ")</f>
        <v> </v>
      </c>
      <c r="J754" s="62" t="str">
        <f>IFERROR(__xludf.DUMMYFUNCTION("""COMPUTED_VALUE""")," ")</f>
        <v> </v>
      </c>
      <c r="K754" s="59" t="str">
        <f>IFERROR(__xludf.DUMMYFUNCTION("""COMPUTED_VALUE""")," ")</f>
        <v> </v>
      </c>
      <c r="L754" s="87" t="str">
        <f>IFERROR(__xludf.DUMMYFUNCTION("""COMPUTED_VALUE""")," ")</f>
        <v> </v>
      </c>
      <c r="M754" s="64" t="str">
        <f>IFERROR(__xludf.DUMMYFUNCTION("""COMPUTED_VALUE"""),"U: [1/3 W]; W: [1:1, $11.5]")</f>
        <v>U: [1/3 W]; W: [1:1, $11.5]</v>
      </c>
      <c r="N754" s="65" t="str">
        <f>IFERROR(__xludf.DUMMYFUNCTION("""COMPUTED_VALUE"""),"")</f>
        <v/>
      </c>
      <c r="O754" s="66">
        <f>IFERROR(__xludf.DUMMYFUNCTION("""COMPUTED_VALUE"""),0.0)</f>
        <v>0</v>
      </c>
      <c r="P754" s="67"/>
      <c r="Q754" s="68">
        <f>IFERROR(__xludf.DUMMYFUNCTION("""COMPUTED_VALUE"""),250.0)</f>
        <v>250</v>
      </c>
      <c r="R754" s="69" t="str">
        <f>IFERROR(__xludf.DUMMYFUNCTION("""COMPUTED_VALUE"""),"Credit Suisse, Wells Fargo Securities")</f>
        <v>Credit Suisse, Wells Fargo Securities</v>
      </c>
      <c r="S754" s="64">
        <f>IFERROR(__xludf.DUMMYFUNCTION("""COMPUTED_VALUE"""),45086.0)</f>
        <v>45086</v>
      </c>
      <c r="T754" s="70" t="str">
        <f>IFERROR(__xludf.DUMMYFUNCTION("""COMPUTED_VALUE"""),"")</f>
        <v/>
      </c>
      <c r="U754" s="71" t="str">
        <f>IFERROR(__xludf.DUMMYFUNCTION("""COMPUTED_VALUE"""),"https://www.sec.gov/cgi-bin/browse-edgar?CIK=1849125")</f>
        <v>https://www.sec.gov/cgi-bin/browse-edgar?CIK=1849125</v>
      </c>
      <c r="V754" s="72" t="str">
        <f>IFERROR(__xludf.DUMMYFUNCTION("""COMPUTED_VALUE"""),"            ")</f>
        <v>            </v>
      </c>
      <c r="W754" s="73"/>
      <c r="X754" s="74"/>
      <c r="Y754" s="75"/>
      <c r="Z754" s="60"/>
      <c r="AA754" s="60"/>
      <c r="AB754" s="60"/>
      <c r="AC754" s="60"/>
      <c r="AD754" s="73"/>
      <c r="AE754" s="73"/>
      <c r="AF754" s="76"/>
      <c r="AG754" s="60"/>
    </row>
    <row r="755">
      <c r="A755" s="54" t="str">
        <f>IFERROR(__xludf.DUMMYFUNCTION("""COMPUTED_VALUE"""),"VACQ")</f>
        <v>VACQ</v>
      </c>
      <c r="B755" s="55" t="str">
        <f>IFERROR(__xludf.DUMMYFUNCTION("""COMPUTED_VALUE"""),"Vector Acquisition Corp")</f>
        <v>Vector Acquisition Corp</v>
      </c>
      <c r="C755" s="56" t="str">
        <f>IFERROR(__xludf.DUMMYFUNCTION("""COMPUTED_VALUE"""),"Definitive Agreement")</f>
        <v>Definitive Agreement</v>
      </c>
      <c r="D755" s="57"/>
      <c r="E755" s="58" t="str">
        <f>IFERROR(__xludf.DUMMYFUNCTION("""COMPUTED_VALUE"""),"Rocket Lab [DA: 03/01/21]")</f>
        <v>Rocket Lab [DA: 03/01/21]</v>
      </c>
      <c r="F755" s="59"/>
      <c r="G755" s="60">
        <f>IFERROR(__xludf.DUMMYFUNCTION("""COMPUTED_VALUE"""),3.0E8)</f>
        <v>300000000</v>
      </c>
      <c r="H755" s="60">
        <f>IFERROR(__xludf.DUMMYFUNCTION("""COMPUTED_VALUE"""),3.552E8)</f>
        <v>355200000</v>
      </c>
      <c r="I755" s="66">
        <f>IFERROR(__xludf.DUMMYFUNCTION("""COMPUTED_VALUE"""),11.1)</f>
        <v>11.1</v>
      </c>
      <c r="J755" s="62">
        <f>IFERROR(__xludf.DUMMYFUNCTION("""COMPUTED_VALUE"""),-9.0E-4)</f>
        <v>-0.0009</v>
      </c>
      <c r="K755" s="59">
        <f>IFERROR(__xludf.DUMMYFUNCTION("""COMPUTED_VALUE"""),11.9)</f>
        <v>11.9</v>
      </c>
      <c r="L755" s="87">
        <f>IFERROR(__xludf.DUMMYFUNCTION("""COMPUTED_VALUE"""),2.73)</f>
        <v>2.73</v>
      </c>
      <c r="M755" s="64" t="str">
        <f>IFERROR(__xludf.DUMMYFUNCTION("""COMPUTED_VALUE"""),"U: [1/3 W]; W: [1:1, $11.5]")</f>
        <v>U: [1/3 W]; W: [1:1, $11.5]</v>
      </c>
      <c r="N755" s="65" t="str">
        <f>IFERROR(__xludf.DUMMYFUNCTION("""COMPUTED_VALUE"""),"")</f>
        <v/>
      </c>
      <c r="O755" s="66">
        <f>IFERROR(__xludf.DUMMYFUNCTION("""COMPUTED_VALUE"""),0.0)</f>
        <v>0</v>
      </c>
      <c r="P755" s="67">
        <f>IFERROR(__xludf.DUMMYFUNCTION("""COMPUTED_VALUE"""),44098.0)</f>
        <v>44098</v>
      </c>
      <c r="Q755" s="68">
        <f>IFERROR(__xludf.DUMMYFUNCTION("""COMPUTED_VALUE"""),300.0)</f>
        <v>300</v>
      </c>
      <c r="R755" s="69" t="str">
        <f>IFERROR(__xludf.DUMMYFUNCTION("""COMPUTED_VALUE"""),"Deutsche Bank, BofA Securities")</f>
        <v>Deutsche Bank, BofA Securities</v>
      </c>
      <c r="S755" s="64">
        <f>IFERROR(__xludf.DUMMYFUNCTION("""COMPUTED_VALUE"""),44828.0)</f>
        <v>44828</v>
      </c>
      <c r="T755" s="70">
        <f>IFERROR(__xludf.DUMMYFUNCTION("""COMPUTED_VALUE"""),0.27123287671232876)</f>
        <v>0.2712328767</v>
      </c>
      <c r="U755" s="71" t="str">
        <f>IFERROR(__xludf.DUMMYFUNCTION("""COMPUTED_VALUE"""),"https://www.sec.gov/cgi-bin/browse-edgar?CIK=1819994")</f>
        <v>https://www.sec.gov/cgi-bin/browse-edgar?CIK=1819994</v>
      </c>
      <c r="V755" s="72" t="str">
        <f>IFERROR(__xludf.DUMMYFUNCTION("""COMPUTED_VALUE"""),"           Top Tier UW ")</f>
        <v>           Top Tier UW </v>
      </c>
      <c r="W755" s="73">
        <f>IFERROR(__xludf.DUMMYFUNCTION("""COMPUTED_VALUE"""),44256.0)</f>
        <v>44256</v>
      </c>
      <c r="X755" s="79">
        <f>IFERROR(__xludf.DUMMYFUNCTION("""COMPUTED_VALUE"""),5.266666666666667)</f>
        <v>5.266666667</v>
      </c>
      <c r="Y755" s="80" t="str">
        <f>IFERROR(__xludf.DUMMYFUNCTION("""COMPUTED_VALUE"""),"https://www.businesswire.com/news/home/20210301005403/en/Rocket-Lab-an-End-to-End-Space-Company-and-Global-Leader-in-Launch-to-Become-Publicly-Traded-Through-Merger-with-Vector-Acquisition-Corporation")</f>
        <v>https://www.businesswire.com/news/home/20210301005403/en/Rocket-Lab-an-End-to-End-Space-Company-and-Global-Leader-in-Launch-to-Become-Publicly-Traded-Through-Merger-with-Vector-Acquisition-Corporation</v>
      </c>
      <c r="Z755" s="81" t="str">
        <f>IFERROR(__xludf.DUMMYFUNCTION("""COMPUTED_VALUE"""),"https://www.sec.gov/Archives/edgar/data/1819994/000121390021012372/ea136708ex99-3_vector.htm")</f>
        <v>https://www.sec.gov/Archives/edgar/data/1819994/000121390021012372/ea136708ex99-3_vector.htm</v>
      </c>
      <c r="AA755" s="60">
        <f>IFERROR(__xludf.DUMMYFUNCTION("""COMPUTED_VALUE"""),4.67E8)</f>
        <v>467000000</v>
      </c>
      <c r="AB755" s="60">
        <f>IFERROR(__xludf.DUMMYFUNCTION("""COMPUTED_VALUE"""),4.827E9)</f>
        <v>4827000000</v>
      </c>
      <c r="AC755" s="60">
        <f>IFERROR(__xludf.DUMMYFUNCTION("""COMPUTED_VALUE"""),4.082E9)</f>
        <v>4082000000</v>
      </c>
      <c r="AD755" s="73"/>
      <c r="AE755" s="73"/>
      <c r="AF755" s="76">
        <f>IFERROR(__xludf.DUMMYFUNCTION("""COMPUTED_VALUE"""),4.827E8)</f>
        <v>482700000</v>
      </c>
      <c r="AG755" s="60">
        <f>IFERROR(__xludf.DUMMYFUNCTION("""COMPUTED_VALUE"""),5.35797E9)</f>
        <v>5357970000</v>
      </c>
    </row>
    <row r="756">
      <c r="A756" s="88" t="str">
        <f>IFERROR(__xludf.DUMMYFUNCTION("""COMPUTED_VALUE"""),"VAQC")</f>
        <v>VAQC</v>
      </c>
      <c r="B756" s="55" t="str">
        <f>IFERROR(__xludf.DUMMYFUNCTION("""COMPUTED_VALUE"""),"Vector Acquisition Corp II")</f>
        <v>Vector Acquisition Corp II</v>
      </c>
      <c r="C756" s="56" t="str">
        <f>IFERROR(__xludf.DUMMYFUNCTION("""COMPUTED_VALUE"""),"Searching")</f>
        <v>Searching</v>
      </c>
      <c r="D756" s="77" t="str">
        <f>IFERROR(__xludf.DUMMYFUNCTION("""COMPUTED_VALUE"""),"Tech")</f>
        <v>Tech</v>
      </c>
      <c r="E756" s="58"/>
      <c r="F756" s="59"/>
      <c r="G756" s="60">
        <f>IFERROR(__xludf.DUMMYFUNCTION("""COMPUTED_VALUE"""),4.5E8)</f>
        <v>450000000</v>
      </c>
      <c r="H756" s="60">
        <f>IFERROR(__xludf.DUMMYFUNCTION("""COMPUTED_VALUE"""),3.98E8)</f>
        <v>398000000</v>
      </c>
      <c r="I756" s="66">
        <f>IFERROR(__xludf.DUMMYFUNCTION("""COMPUTED_VALUE"""),9.95)</f>
        <v>9.95</v>
      </c>
      <c r="J756" s="62">
        <f>IFERROR(__xludf.DUMMYFUNCTION("""COMPUTED_VALUE"""),-0.001)</f>
        <v>-0.001</v>
      </c>
      <c r="K756" s="59" t="str">
        <f>IFERROR(__xludf.DUMMYFUNCTION("""COMPUTED_VALUE""")," ")</f>
        <v> </v>
      </c>
      <c r="L756" s="87" t="str">
        <f>IFERROR(__xludf.DUMMYFUNCTION("""COMPUTED_VALUE""")," ")</f>
        <v> </v>
      </c>
      <c r="M756" s="64" t="str">
        <f>IFERROR(__xludf.DUMMYFUNCTION("""COMPUTED_VALUE"""),"U: [No Units]; W: [No Warrants]")</f>
        <v>U: [No Units]; W: [No Warrants]</v>
      </c>
      <c r="N756" s="65" t="str">
        <f>IFERROR(__xludf.DUMMYFUNCTION("""COMPUTED_VALUE"""),"")</f>
        <v/>
      </c>
      <c r="O756" s="66">
        <f>IFERROR(__xludf.DUMMYFUNCTION("""COMPUTED_VALUE"""),0.0)</f>
        <v>0</v>
      </c>
      <c r="P756" s="67">
        <f>IFERROR(__xludf.DUMMYFUNCTION("""COMPUTED_VALUE"""),44265.0)</f>
        <v>44265</v>
      </c>
      <c r="Q756" s="68">
        <f>IFERROR(__xludf.DUMMYFUNCTION("""COMPUTED_VALUE"""),450.0)</f>
        <v>450</v>
      </c>
      <c r="R756" s="69" t="str">
        <f>IFERROR(__xludf.DUMMYFUNCTION("""COMPUTED_VALUE"""),"Deutsche Bank Securities, BofA Securities")</f>
        <v>Deutsche Bank Securities, BofA Securities</v>
      </c>
      <c r="S756" s="64">
        <f>IFERROR(__xludf.DUMMYFUNCTION("""COMPUTED_VALUE"""),44995.0)</f>
        <v>44995</v>
      </c>
      <c r="T756" s="70">
        <f>IFERROR(__xludf.DUMMYFUNCTION("""COMPUTED_VALUE"""),0.04246575342465753)</f>
        <v>0.04246575342</v>
      </c>
      <c r="U756" s="71" t="str">
        <f>IFERROR(__xludf.DUMMYFUNCTION("""COMPUTED_VALUE"""),"https://www.sec.gov/cgi-bin/browse-edgar?CIK=1842386")</f>
        <v>https://www.sec.gov/cgi-bin/browse-edgar?CIK=1842386</v>
      </c>
      <c r="V756" s="72" t="str">
        <f>IFERROR(__xludf.DUMMYFUNCTION("""COMPUTED_VALUE""")," Trading Below $10 (Common)          Top Tier UW ")</f>
        <v> Trading Below $10 (Common)          Top Tier UW </v>
      </c>
      <c r="W756" s="73"/>
      <c r="X756" s="74"/>
      <c r="Y756" s="75"/>
      <c r="Z756" s="60"/>
      <c r="AA756" s="60"/>
      <c r="AB756" s="60"/>
      <c r="AC756" s="60"/>
      <c r="AD756" s="73"/>
      <c r="AE756" s="73"/>
      <c r="AF756" s="76"/>
      <c r="AG756" s="60"/>
    </row>
    <row r="757">
      <c r="A757" s="88" t="str">
        <f>IFERROR(__xludf.DUMMYFUNCTION("""COMPUTED_VALUE"""),"VBAQ")</f>
        <v>VBAQ</v>
      </c>
      <c r="B757" s="55" t="str">
        <f>IFERROR(__xludf.DUMMYFUNCTION("""COMPUTED_VALUE"""),"Venice Brands Acquisition Corp. I")</f>
        <v>Venice Brands Acquisition Corp. I</v>
      </c>
      <c r="C757" s="56" t="str">
        <f>IFERROR(__xludf.DUMMYFUNCTION("""COMPUTED_VALUE"""),"Pre IPO")</f>
        <v>Pre IPO</v>
      </c>
      <c r="D757" s="57" t="str">
        <f>IFERROR(__xludf.DUMMYFUNCTION("""COMPUTED_VALUE"""),"Consumer")</f>
        <v>Consumer</v>
      </c>
      <c r="E757" s="58"/>
      <c r="F757" s="59" t="str">
        <f>IFERROR(__xludf.DUMMYFUNCTION("""COMPUTED_VALUE"""),"Gregory Willsey (Founder of Venice Brands, Former CFO &amp; COO of POM Wonderful)")</f>
        <v>Gregory Willsey (Founder of Venice Brands, Former CFO &amp; COO of POM Wonderful)</v>
      </c>
      <c r="G757" s="60">
        <f>IFERROR(__xludf.DUMMYFUNCTION("""COMPUTED_VALUE"""),1.5E8)</f>
        <v>150000000</v>
      </c>
      <c r="H757" s="60" t="str">
        <f>IFERROR(__xludf.DUMMYFUNCTION("""COMPUTED_VALUE""")," ")</f>
        <v> </v>
      </c>
      <c r="I757" s="66" t="str">
        <f>IFERROR(__xludf.DUMMYFUNCTION("""COMPUTED_VALUE""")," ")</f>
        <v> </v>
      </c>
      <c r="J757" s="62" t="str">
        <f>IFERROR(__xludf.DUMMYFUNCTION("""COMPUTED_VALUE""")," ")</f>
        <v> </v>
      </c>
      <c r="K757" s="59" t="str">
        <f>IFERROR(__xludf.DUMMYFUNCTION("""COMPUTED_VALUE""")," ")</f>
        <v> </v>
      </c>
      <c r="L757" s="87" t="str">
        <f>IFERROR(__xludf.DUMMYFUNCTION("""COMPUTED_VALUE""")," ")</f>
        <v> </v>
      </c>
      <c r="M757" s="64" t="str">
        <f>IFERROR(__xludf.DUMMYFUNCTION("""COMPUTED_VALUE"""),"U: [1/2 W]; W: [1:1, $11.5]")</f>
        <v>U: [1/2 W]; W: [1:1, $11.5]</v>
      </c>
      <c r="N757" s="65" t="str">
        <f>IFERROR(__xludf.DUMMYFUNCTION("""COMPUTED_VALUE"""),"")</f>
        <v/>
      </c>
      <c r="O757" s="66">
        <f>IFERROR(__xludf.DUMMYFUNCTION("""COMPUTED_VALUE"""),0.0)</f>
        <v>0</v>
      </c>
      <c r="P757" s="67"/>
      <c r="Q757" s="68">
        <f>IFERROR(__xludf.DUMMYFUNCTION("""COMPUTED_VALUE"""),150.0)</f>
        <v>150</v>
      </c>
      <c r="R757" s="69" t="str">
        <f>IFERROR(__xludf.DUMMYFUNCTION("""COMPUTED_VALUE"""),"Jefferies")</f>
        <v>Jefferies</v>
      </c>
      <c r="S757" s="64">
        <f>IFERROR(__xludf.DUMMYFUNCTION("""COMPUTED_VALUE"""),45086.0)</f>
        <v>45086</v>
      </c>
      <c r="T757" s="70" t="str">
        <f>IFERROR(__xludf.DUMMYFUNCTION("""COMPUTED_VALUE"""),"")</f>
        <v/>
      </c>
      <c r="U757" s="71" t="str">
        <f>IFERROR(__xludf.DUMMYFUNCTION("""COMPUTED_VALUE"""),"https://www.sec.gov/cgi-bin/browse-edgar?CIK=1849590")</f>
        <v>https://www.sec.gov/cgi-bin/browse-edgar?CIK=1849590</v>
      </c>
      <c r="V757" s="72" t="str">
        <f>IFERROR(__xludf.DUMMYFUNCTION("""COMPUTED_VALUE"""),"            ")</f>
        <v>            </v>
      </c>
      <c r="W757" s="73"/>
      <c r="X757" s="74"/>
      <c r="Y757" s="75"/>
      <c r="Z757" s="60"/>
      <c r="AA757" s="60"/>
      <c r="AB757" s="60"/>
      <c r="AC757" s="60"/>
      <c r="AD757" s="73"/>
      <c r="AE757" s="73"/>
      <c r="AF757" s="76"/>
      <c r="AG757" s="60"/>
    </row>
    <row r="758">
      <c r="A758" s="54" t="str">
        <f>IFERROR(__xludf.DUMMYFUNCTION("""COMPUTED_VALUE"""),"VCKA")</f>
        <v>VCKA</v>
      </c>
      <c r="B758" s="55" t="str">
        <f>IFERROR(__xludf.DUMMYFUNCTION("""COMPUTED_VALUE"""),"Vickers Vantage Corp. I")</f>
        <v>Vickers Vantage Corp. I</v>
      </c>
      <c r="C758" s="56" t="str">
        <f>IFERROR(__xludf.DUMMYFUNCTION("""COMPUTED_VALUE"""),"Searching")</f>
        <v>Searching</v>
      </c>
      <c r="D758" s="57"/>
      <c r="E758" s="58"/>
      <c r="F758" s="59"/>
      <c r="G758" s="60">
        <f>IFERROR(__xludf.DUMMYFUNCTION("""COMPUTED_VALUE"""),1.38E8)</f>
        <v>138000000</v>
      </c>
      <c r="H758" s="60">
        <f>IFERROR(__xludf.DUMMYFUNCTION("""COMPUTED_VALUE"""),1.709475E8)</f>
        <v>170947500</v>
      </c>
      <c r="I758" s="66">
        <f>IFERROR(__xludf.DUMMYFUNCTION("""COMPUTED_VALUE"""),9.91)</f>
        <v>9.91</v>
      </c>
      <c r="J758" s="62">
        <f>IFERROR(__xludf.DUMMYFUNCTION("""COMPUTED_VALUE"""),-0.00402)</f>
        <v>-0.00402</v>
      </c>
      <c r="K758" s="59">
        <f>IFERROR(__xludf.DUMMYFUNCTION("""COMPUTED_VALUE"""),10.14)</f>
        <v>10.14</v>
      </c>
      <c r="L758" s="87">
        <f>IFERROR(__xludf.DUMMYFUNCTION("""COMPUTED_VALUE"""),0.51)</f>
        <v>0.51</v>
      </c>
      <c r="M758" s="64" t="str">
        <f>IFERROR(__xludf.DUMMYFUNCTION("""COMPUTED_VALUE"""),"U: [1/2 W]; W: [1:1, $11.5]")</f>
        <v>U: [1/2 W]; W: [1:1, $11.5]</v>
      </c>
      <c r="N758" s="65" t="str">
        <f>IFERROR(__xludf.DUMMYFUNCTION("""COMPUTED_VALUE"""),"")</f>
        <v/>
      </c>
      <c r="O758" s="66">
        <f>IFERROR(__xludf.DUMMYFUNCTION("""COMPUTED_VALUE"""),0.0)</f>
        <v>0</v>
      </c>
      <c r="P758" s="67">
        <f>IFERROR(__xludf.DUMMYFUNCTION("""COMPUTED_VALUE"""),44202.0)</f>
        <v>44202</v>
      </c>
      <c r="Q758" s="68">
        <f>IFERROR(__xludf.DUMMYFUNCTION("""COMPUTED_VALUE"""),138.0)</f>
        <v>138</v>
      </c>
      <c r="R758" s="69" t="str">
        <f>IFERROR(__xludf.DUMMYFUNCTION("""COMPUTED_VALUE"""),"Maxim")</f>
        <v>Maxim</v>
      </c>
      <c r="S758" s="64">
        <f>IFERROR(__xludf.DUMMYFUNCTION("""COMPUTED_VALUE"""),44567.0)</f>
        <v>44567</v>
      </c>
      <c r="T758" s="70">
        <f>IFERROR(__xludf.DUMMYFUNCTION("""COMPUTED_VALUE"""),0.25753424657534246)</f>
        <v>0.2575342466</v>
      </c>
      <c r="U758" s="71" t="str">
        <f>IFERROR(__xludf.DUMMYFUNCTION("""COMPUTED_VALUE"""),"https://www.sec.gov/cgi-bin/browse-edgar?CIK=1820190")</f>
        <v>https://www.sec.gov/cgi-bin/browse-edgar?CIK=1820190</v>
      </c>
      <c r="V758" s="72" t="str">
        <f>IFERROR(__xludf.DUMMYFUNCTION("""COMPUTED_VALUE""")," Trading Below $10 (Common)           ")</f>
        <v> Trading Below $10 (Common)           </v>
      </c>
      <c r="W758" s="73"/>
      <c r="X758" s="74"/>
      <c r="Y758" s="75"/>
      <c r="Z758" s="60"/>
      <c r="AA758" s="60"/>
      <c r="AB758" s="60"/>
      <c r="AC758" s="60"/>
      <c r="AD758" s="73"/>
      <c r="AE758" s="73"/>
      <c r="AF758" s="76"/>
      <c r="AG758" s="60" t="str">
        <f>IFERROR(__xludf.DUMMYFUNCTION("""COMPUTED_VALUE"""),"")</f>
        <v/>
      </c>
    </row>
    <row r="759">
      <c r="A759" s="54" t="str">
        <f>IFERROR(__xludf.DUMMYFUNCTION("""COMPUTED_VALUE"""),"VCVC")</f>
        <v>VCVC</v>
      </c>
      <c r="B759" s="55" t="str">
        <f>IFERROR(__xludf.DUMMYFUNCTION("""COMPUTED_VALUE"""),"10X Capital Venture Acquisition Corp")</f>
        <v>10X Capital Venture Acquisition Corp</v>
      </c>
      <c r="C759" s="56" t="str">
        <f>IFERROR(__xludf.DUMMYFUNCTION("""COMPUTED_VALUE"""),"Definitive Agreement")</f>
        <v>Definitive Agreement</v>
      </c>
      <c r="D759" s="57" t="str">
        <f>IFERROR(__xludf.DUMMYFUNCTION("""COMPUTED_VALUE"""),"Tech")</f>
        <v>Tech</v>
      </c>
      <c r="E759" s="58" t="str">
        <f>IFERROR(__xludf.DUMMYFUNCTION("""COMPUTED_VALUE"""),"REE Automotive [DA: 02/03/21]")</f>
        <v>REE Automotive [DA: 02/03/21]</v>
      </c>
      <c r="F759" s="59" t="str">
        <f>IFERROR(__xludf.DUMMYFUNCTION("""COMPUTED_VALUE"""),"Hans Thomas (CEO, 10X Capital), David Weisburd (Co-founder, Growth Technology Partners), Woodrow Levin (Director, DraftKings)")</f>
        <v>Hans Thomas (CEO, 10X Capital), David Weisburd (Co-founder, Growth Technology Partners), Woodrow Levin (Director, DraftKings)</v>
      </c>
      <c r="G759" s="60">
        <f>IFERROR(__xludf.DUMMYFUNCTION("""COMPUTED_VALUE"""),2.01251614E8)</f>
        <v>201251614</v>
      </c>
      <c r="H759" s="60">
        <f>IFERROR(__xludf.DUMMYFUNCTION("""COMPUTED_VALUE"""),2.024575E8)</f>
        <v>202457500</v>
      </c>
      <c r="I759" s="66">
        <f>IFERROR(__xludf.DUMMYFUNCTION("""COMPUTED_VALUE"""),10.06)</f>
        <v>10.06</v>
      </c>
      <c r="J759" s="62">
        <f>IFERROR(__xludf.DUMMYFUNCTION("""COMPUTED_VALUE"""),-0.00297)</f>
        <v>-0.00297</v>
      </c>
      <c r="K759" s="59">
        <f>IFERROR(__xludf.DUMMYFUNCTION("""COMPUTED_VALUE"""),10.79)</f>
        <v>10.79</v>
      </c>
      <c r="L759" s="87">
        <f>IFERROR(__xludf.DUMMYFUNCTION("""COMPUTED_VALUE"""),1.65)</f>
        <v>1.65</v>
      </c>
      <c r="M759" s="64" t="str">
        <f>IFERROR(__xludf.DUMMYFUNCTION("""COMPUTED_VALUE"""),"U: [1/2 W]; W: [1:1, $11.5]")</f>
        <v>U: [1/2 W]; W: [1:1, $11.5]</v>
      </c>
      <c r="N759" s="65" t="str">
        <f>IFERROR(__xludf.DUMMYFUNCTION("""COMPUTED_VALUE"""),"")</f>
        <v/>
      </c>
      <c r="O759" s="66">
        <f>IFERROR(__xludf.DUMMYFUNCTION("""COMPUTED_VALUE"""),0.0)</f>
        <v>0</v>
      </c>
      <c r="P759" s="67">
        <f>IFERROR(__xludf.DUMMYFUNCTION("""COMPUTED_VALUE"""),44159.0)</f>
        <v>44159</v>
      </c>
      <c r="Q759" s="68">
        <f>IFERROR(__xludf.DUMMYFUNCTION("""COMPUTED_VALUE"""),201.25)</f>
        <v>201.25</v>
      </c>
      <c r="R759" s="69" t="str">
        <f>IFERROR(__xludf.DUMMYFUNCTION("""COMPUTED_VALUE"""),"Cantor")</f>
        <v>Cantor</v>
      </c>
      <c r="S759" s="64">
        <f>IFERROR(__xludf.DUMMYFUNCTION("""COMPUTED_VALUE"""),44889.0)</f>
        <v>44889</v>
      </c>
      <c r="T759" s="70">
        <f>IFERROR(__xludf.DUMMYFUNCTION("""COMPUTED_VALUE"""),0.18767123287671234)</f>
        <v>0.1876712329</v>
      </c>
      <c r="U759" s="71" t="str">
        <f>IFERROR(__xludf.DUMMYFUNCTION("""COMPUTED_VALUE"""),"https://www.sec.gov/cgi-bin/browse-edgar?CIK=1821595")</f>
        <v>https://www.sec.gov/cgi-bin/browse-edgar?CIK=1821595</v>
      </c>
      <c r="V759" s="72" t="str">
        <f>IFERROR(__xludf.DUMMYFUNCTION("""COMPUTED_VALUE"""),"Venture Capital, Sustainability, E.V.     Optionable     Serial Sponsor  ")</f>
        <v>Venture Capital, Sustainability, E.V.     Optionable     Serial Sponsor  </v>
      </c>
      <c r="W759" s="73">
        <f>IFERROR(__xludf.DUMMYFUNCTION("""COMPUTED_VALUE"""),44230.0)</f>
        <v>44230</v>
      </c>
      <c r="X759" s="79">
        <f>IFERROR(__xludf.DUMMYFUNCTION("""COMPUTED_VALUE"""),2.3666666666666667)</f>
        <v>2.366666667</v>
      </c>
      <c r="Y759" s="80" t="str">
        <f>IFERROR(__xludf.DUMMYFUNCTION("""COMPUTED_VALUE"""),"https://www.businesswire.com/news/home/20210203005257/en/REE-Automotive-to-List-on-NASDAQ-Through-Merger-with-10X-Capital-Venture-Acquisition-Corp")</f>
        <v>https://www.businesswire.com/news/home/20210203005257/en/REE-Automotive-to-List-on-NASDAQ-Through-Merger-with-10X-Capital-Venture-Acquisition-Corp</v>
      </c>
      <c r="Z759" s="81" t="str">
        <f>IFERROR(__xludf.DUMMYFUNCTION("""COMPUTED_VALUE"""),"https://www.sec.gov/Archives/edgar/data/1821595/000121390021006323/ea134517ex99-1_10xcapital.htm")</f>
        <v>https://www.sec.gov/Archives/edgar/data/1821595/000121390021006323/ea134517ex99-1_10xcapital.htm</v>
      </c>
      <c r="AA759" s="60">
        <f>IFERROR(__xludf.DUMMYFUNCTION("""COMPUTED_VALUE"""),3.0E8)</f>
        <v>300000000</v>
      </c>
      <c r="AB759" s="60">
        <f>IFERROR(__xludf.DUMMYFUNCTION("""COMPUTED_VALUE"""),3.581E9)</f>
        <v>3581000000</v>
      </c>
      <c r="AC759" s="60">
        <f>IFERROR(__xludf.DUMMYFUNCTION("""COMPUTED_VALUE"""),3.144E9)</f>
        <v>3144000000</v>
      </c>
      <c r="AD759" s="73"/>
      <c r="AE759" s="73"/>
      <c r="AF759" s="76">
        <f>IFERROR(__xludf.DUMMYFUNCTION("""COMPUTED_VALUE"""),3.581E8)</f>
        <v>358100000</v>
      </c>
      <c r="AG759" s="60">
        <f>IFERROR(__xludf.DUMMYFUNCTION("""COMPUTED_VALUE"""),3.602486E9)</f>
        <v>3602486000</v>
      </c>
    </row>
    <row r="760">
      <c r="A760" s="88" t="str">
        <f>IFERROR(__xludf.DUMMYFUNCTION("""COMPUTED_VALUE"""),"VCXA")</f>
        <v>VCXA</v>
      </c>
      <c r="B760" s="55" t="str">
        <f>IFERROR(__xludf.DUMMYFUNCTION("""COMPUTED_VALUE"""),"10X Capital Venture Acquisition Corp. II")</f>
        <v>10X Capital Venture Acquisition Corp. II</v>
      </c>
      <c r="C760" s="56" t="str">
        <f>IFERROR(__xludf.DUMMYFUNCTION("""COMPUTED_VALUE"""),"Pre IPO")</f>
        <v>Pre IPO</v>
      </c>
      <c r="D760" s="57" t="str">
        <f>IFERROR(__xludf.DUMMYFUNCTION("""COMPUTED_VALUE"""),"Tech")</f>
        <v>Tech</v>
      </c>
      <c r="E760" s="58"/>
      <c r="F760" s="59" t="str">
        <f>IFERROR(__xludf.DUMMYFUNCTION("""COMPUTED_VALUE"""),"Hans Thomas (Founder &amp; CEO of 10X Capital), Woodrow Levin (Director at DraftKings)")</f>
        <v>Hans Thomas (Founder &amp; CEO of 10X Capital), Woodrow Levin (Director at DraftKings)</v>
      </c>
      <c r="G760" s="60">
        <f>IFERROR(__xludf.DUMMYFUNCTION("""COMPUTED_VALUE"""),2.0E8)</f>
        <v>200000000</v>
      </c>
      <c r="H760" s="60" t="str">
        <f>IFERROR(__xludf.DUMMYFUNCTION("""COMPUTED_VALUE""")," ")</f>
        <v> </v>
      </c>
      <c r="I760" s="66" t="str">
        <f>IFERROR(__xludf.DUMMYFUNCTION("""COMPUTED_VALUE""")," ")</f>
        <v> </v>
      </c>
      <c r="J760" s="62" t="str">
        <f>IFERROR(__xludf.DUMMYFUNCTION("""COMPUTED_VALUE""")," ")</f>
        <v> </v>
      </c>
      <c r="K760" s="59" t="str">
        <f>IFERROR(__xludf.DUMMYFUNCTION("""COMPUTED_VALUE""")," ")</f>
        <v> </v>
      </c>
      <c r="L760" s="87" t="str">
        <f>IFERROR(__xludf.DUMMYFUNCTION("""COMPUTED_VALUE""")," ")</f>
        <v> </v>
      </c>
      <c r="M760" s="64" t="str">
        <f>IFERROR(__xludf.DUMMYFUNCTION("""COMPUTED_VALUE"""),"U: [1/4 W]; W: [1:1, $11.5]")</f>
        <v>U: [1/4 W]; W: [1:1, $11.5]</v>
      </c>
      <c r="N760" s="65" t="str">
        <f>IFERROR(__xludf.DUMMYFUNCTION("""COMPUTED_VALUE"""),"")</f>
        <v/>
      </c>
      <c r="O760" s="66">
        <f>IFERROR(__xludf.DUMMYFUNCTION("""COMPUTED_VALUE"""),0.0)</f>
        <v>0</v>
      </c>
      <c r="P760" s="67"/>
      <c r="Q760" s="68">
        <f>IFERROR(__xludf.DUMMYFUNCTION("""COMPUTED_VALUE"""),200.0)</f>
        <v>200</v>
      </c>
      <c r="R760" s="69" t="str">
        <f>IFERROR(__xludf.DUMMYFUNCTION("""COMPUTED_VALUE"""),"Cantor")</f>
        <v>Cantor</v>
      </c>
      <c r="S760" s="64">
        <f>IFERROR(__xludf.DUMMYFUNCTION("""COMPUTED_VALUE"""),45086.0)</f>
        <v>45086</v>
      </c>
      <c r="T760" s="70" t="str">
        <f>IFERROR(__xludf.DUMMYFUNCTION("""COMPUTED_VALUE"""),"")</f>
        <v/>
      </c>
      <c r="U760" s="71" t="str">
        <f>IFERROR(__xludf.DUMMYFUNCTION("""COMPUTED_VALUE"""),"https://www.sec.gov/cgi-bin/browse-edgar?CIK=1848898")</f>
        <v>https://www.sec.gov/cgi-bin/browse-edgar?CIK=1848898</v>
      </c>
      <c r="V760" s="72" t="str">
        <f>IFERROR(__xludf.DUMMYFUNCTION("""COMPUTED_VALUE"""),"Venture Capital, Sustainability, E.V.          Serial Sponsor  ")</f>
        <v>Venture Capital, Sustainability, E.V.          Serial Sponsor  </v>
      </c>
      <c r="W760" s="73"/>
      <c r="X760" s="74"/>
      <c r="Y760" s="75"/>
      <c r="Z760" s="60"/>
      <c r="AA760" s="60"/>
      <c r="AB760" s="60"/>
      <c r="AC760" s="60"/>
      <c r="AD760" s="73"/>
      <c r="AE760" s="73"/>
      <c r="AF760" s="76"/>
      <c r="AG760" s="60"/>
    </row>
    <row r="761">
      <c r="A761" s="88" t="str">
        <f>IFERROR(__xludf.DUMMYFUNCTION("""COMPUTED_VALUE"""),"VCXB")</f>
        <v>VCXB</v>
      </c>
      <c r="B761" s="55" t="str">
        <f>IFERROR(__xludf.DUMMYFUNCTION("""COMPUTED_VALUE"""),"10X Capital Venture Acquisition Corp. III")</f>
        <v>10X Capital Venture Acquisition Corp. III</v>
      </c>
      <c r="C761" s="56" t="str">
        <f>IFERROR(__xludf.DUMMYFUNCTION("""COMPUTED_VALUE"""),"Pre IPO")</f>
        <v>Pre IPO</v>
      </c>
      <c r="D761" s="57" t="str">
        <f>IFERROR(__xludf.DUMMYFUNCTION("""COMPUTED_VALUE"""),"Tech")</f>
        <v>Tech</v>
      </c>
      <c r="E761" s="58"/>
      <c r="F761" s="59" t="str">
        <f>IFERROR(__xludf.DUMMYFUNCTION("""COMPUTED_VALUE"""),"Hans Thomas (Founder &amp; CEO of 10X Capital), Woodrow Levin (Director at DraftKings)")</f>
        <v>Hans Thomas (Founder &amp; CEO of 10X Capital), Woodrow Levin (Director at DraftKings)</v>
      </c>
      <c r="G761" s="60">
        <f>IFERROR(__xludf.DUMMYFUNCTION("""COMPUTED_VALUE"""),3.5E8)</f>
        <v>350000000</v>
      </c>
      <c r="H761" s="60" t="str">
        <f>IFERROR(__xludf.DUMMYFUNCTION("""COMPUTED_VALUE""")," ")</f>
        <v> </v>
      </c>
      <c r="I761" s="66" t="str">
        <f>IFERROR(__xludf.DUMMYFUNCTION("""COMPUTED_VALUE""")," ")</f>
        <v> </v>
      </c>
      <c r="J761" s="62" t="str">
        <f>IFERROR(__xludf.DUMMYFUNCTION("""COMPUTED_VALUE""")," ")</f>
        <v> </v>
      </c>
      <c r="K761" s="59" t="str">
        <f>IFERROR(__xludf.DUMMYFUNCTION("""COMPUTED_VALUE""")," ")</f>
        <v> </v>
      </c>
      <c r="L761" s="87" t="str">
        <f>IFERROR(__xludf.DUMMYFUNCTION("""COMPUTED_VALUE""")," ")</f>
        <v> </v>
      </c>
      <c r="M761" s="64" t="str">
        <f>IFERROR(__xludf.DUMMYFUNCTION("""COMPUTED_VALUE"""),"U: [1/4 W]; W: [1:1, $11.5]")</f>
        <v>U: [1/4 W]; W: [1:1, $11.5]</v>
      </c>
      <c r="N761" s="65" t="str">
        <f>IFERROR(__xludf.DUMMYFUNCTION("""COMPUTED_VALUE"""),"")</f>
        <v/>
      </c>
      <c r="O761" s="66">
        <f>IFERROR(__xludf.DUMMYFUNCTION("""COMPUTED_VALUE"""),0.0)</f>
        <v>0</v>
      </c>
      <c r="P761" s="67"/>
      <c r="Q761" s="68">
        <f>IFERROR(__xludf.DUMMYFUNCTION("""COMPUTED_VALUE"""),350.0)</f>
        <v>350</v>
      </c>
      <c r="R761" s="69" t="str">
        <f>IFERROR(__xludf.DUMMYFUNCTION("""COMPUTED_VALUE"""),"Cantor")</f>
        <v>Cantor</v>
      </c>
      <c r="S761" s="64">
        <f>IFERROR(__xludf.DUMMYFUNCTION("""COMPUTED_VALUE"""),45086.0)</f>
        <v>45086</v>
      </c>
      <c r="T761" s="70" t="str">
        <f>IFERROR(__xludf.DUMMYFUNCTION("""COMPUTED_VALUE"""),"")</f>
        <v/>
      </c>
      <c r="U761" s="71" t="str">
        <f>IFERROR(__xludf.DUMMYFUNCTION("""COMPUTED_VALUE"""),"https://www.sec.gov/cgi-bin/browse-edgar?CIK=1848948")</f>
        <v>https://www.sec.gov/cgi-bin/browse-edgar?CIK=1848948</v>
      </c>
      <c r="V761" s="72" t="str">
        <f>IFERROR(__xludf.DUMMYFUNCTION("""COMPUTED_VALUE"""),"Venture Capital, Sustainability, E.V.          Serial Sponsor  ")</f>
        <v>Venture Capital, Sustainability, E.V.          Serial Sponsor  </v>
      </c>
      <c r="W761" s="73"/>
      <c r="X761" s="74"/>
      <c r="Y761" s="75"/>
      <c r="Z761" s="60"/>
      <c r="AA761" s="60"/>
      <c r="AB761" s="60"/>
      <c r="AC761" s="60"/>
      <c r="AD761" s="73"/>
      <c r="AE761" s="73"/>
      <c r="AF761" s="76"/>
      <c r="AG761" s="60"/>
    </row>
    <row r="762">
      <c r="A762" s="88" t="str">
        <f>IFERROR(__xludf.DUMMYFUNCTION("""COMPUTED_VALUE"""),"VELO")</f>
        <v>VELO</v>
      </c>
      <c r="B762" s="55" t="str">
        <f>IFERROR(__xludf.DUMMYFUNCTION("""COMPUTED_VALUE"""),"Velocity Acquisition Corp.")</f>
        <v>Velocity Acquisition Corp.</v>
      </c>
      <c r="C762" s="56" t="str">
        <f>IFERROR(__xludf.DUMMYFUNCTION("""COMPUTED_VALUE"""),"Searching (Pre Unit Split)")</f>
        <v>Searching (Pre Unit Split)</v>
      </c>
      <c r="D762" s="77" t="str">
        <f>IFERROR(__xludf.DUMMYFUNCTION("""COMPUTED_VALUE"""),"Tech, Digital Services and Platforms")</f>
        <v>Tech, Digital Services and Platforms</v>
      </c>
      <c r="E762" s="58"/>
      <c r="F762" s="59"/>
      <c r="G762" s="60">
        <f>IFERROR(__xludf.DUMMYFUNCTION("""COMPUTED_VALUE"""),2.3E8)</f>
        <v>230000000</v>
      </c>
      <c r="H762" s="60" t="str">
        <f>IFERROR(__xludf.DUMMYFUNCTION("""COMPUTED_VALUE""")," ")</f>
        <v> </v>
      </c>
      <c r="I762" s="66" t="str">
        <f>IFERROR(__xludf.DUMMYFUNCTION("""COMPUTED_VALUE""")," ")</f>
        <v> </v>
      </c>
      <c r="J762" s="62" t="str">
        <f>IFERROR(__xludf.DUMMYFUNCTION("""COMPUTED_VALUE""")," ")</f>
        <v> </v>
      </c>
      <c r="K762" s="59">
        <f>IFERROR(__xludf.DUMMYFUNCTION("""COMPUTED_VALUE"""),10.05)</f>
        <v>10.05</v>
      </c>
      <c r="L762" s="87" t="str">
        <f>IFERROR(__xludf.DUMMYFUNCTION("""COMPUTED_VALUE""")," ")</f>
        <v> </v>
      </c>
      <c r="M762" s="64" t="str">
        <f>IFERROR(__xludf.DUMMYFUNCTION("""COMPUTED_VALUE"""),"U: [1/3 W]; W: [1:1, $11.5]")</f>
        <v>U: [1/3 W]; W: [1:1, $11.5]</v>
      </c>
      <c r="N762" s="65">
        <f>IFERROR(__xludf.DUMMYFUNCTION("""COMPUTED_VALUE"""),44301.0)</f>
        <v>44301</v>
      </c>
      <c r="O762" s="66" t="str">
        <f>IFERROR(__xludf.DUMMYFUNCTION("""COMPUTED_VALUE"""),"")</f>
        <v/>
      </c>
      <c r="P762" s="67">
        <f>IFERROR(__xludf.DUMMYFUNCTION("""COMPUTED_VALUE"""),44249.0)</f>
        <v>44249</v>
      </c>
      <c r="Q762" s="68">
        <f>IFERROR(__xludf.DUMMYFUNCTION("""COMPUTED_VALUE"""),230.0)</f>
        <v>230</v>
      </c>
      <c r="R762" s="69" t="str">
        <f>IFERROR(__xludf.DUMMYFUNCTION("""COMPUTED_VALUE"""),"Citigroup, Canaccord Genuity")</f>
        <v>Citigroup, Canaccord Genuity</v>
      </c>
      <c r="S762" s="64">
        <f>IFERROR(__xludf.DUMMYFUNCTION("""COMPUTED_VALUE"""),44979.0)</f>
        <v>44979</v>
      </c>
      <c r="T762" s="70">
        <f>IFERROR(__xludf.DUMMYFUNCTION("""COMPUTED_VALUE"""),0.06438356164383562)</f>
        <v>0.06438356164</v>
      </c>
      <c r="U762" s="71" t="str">
        <f>IFERROR(__xludf.DUMMYFUNCTION("""COMPUTED_VALUE"""),"https://www.sec.gov/cgi-bin/browse-edgar?CIK=1832371")</f>
        <v>https://www.sec.gov/cgi-bin/browse-edgar?CIK=1832371</v>
      </c>
      <c r="V762" s="72" t="str">
        <f>IFERROR(__xludf.DUMMYFUNCTION("""COMPUTED_VALUE"""),"           Top Tier UW ")</f>
        <v>           Top Tier UW </v>
      </c>
      <c r="W762" s="73"/>
      <c r="X762" s="74"/>
      <c r="Y762" s="75"/>
      <c r="Z762" s="60"/>
      <c r="AA762" s="60"/>
      <c r="AB762" s="60"/>
      <c r="AC762" s="60"/>
      <c r="AD762" s="73"/>
      <c r="AE762" s="73"/>
      <c r="AF762" s="76"/>
      <c r="AG762" s="60"/>
    </row>
    <row r="763">
      <c r="A763" s="88" t="str">
        <f>IFERROR(__xludf.DUMMYFUNCTION("""COMPUTED_VALUE"""),"VEMC")</f>
        <v>VEMC</v>
      </c>
      <c r="B763" s="55" t="str">
        <f>IFERROR(__xludf.DUMMYFUNCTION("""COMPUTED_VALUE"""),"Velocity Merger Corp.")</f>
        <v>Velocity Merger Corp.</v>
      </c>
      <c r="C763" s="56" t="str">
        <f>IFERROR(__xludf.DUMMYFUNCTION("""COMPUTED_VALUE"""),"Pre IPO")</f>
        <v>Pre IPO</v>
      </c>
      <c r="D763" s="77" t="str">
        <f>IFERROR(__xludf.DUMMYFUNCTION("""COMPUTED_VALUE"""),"Fintech")</f>
        <v>Fintech</v>
      </c>
      <c r="E763" s="58"/>
      <c r="F763" s="59" t="str">
        <f>IFERROR(__xludf.DUMMYFUNCTION("""COMPUTED_VALUE"""),"Mitchell Caplan (Former CEO &amp; Director of E*Trade and Former CEO &amp; Vice Chairman of Telebanc Financial), Lyndon Lea (Founder &amp; Managing Partner of Lion Capital), Jonathan Christodoro (Former Managing Director of Icahn Capital, Director of PayPal &amp; Xerox, "&amp;"and Former Director of eBay, Lyft, &amp; Herbalife), Laurence Greenberg (Former COO of Telebanc), Steve Lockshin (Founder of Lydian Wealth Management, Founder of AdvicePeriod, and Former Chairman of Convergent Wealth Advisors)")</f>
        <v>Mitchell Caplan (Former CEO &amp; Director of E*Trade and Former CEO &amp; Vice Chairman of Telebanc Financial), Lyndon Lea (Founder &amp; Managing Partner of Lion Capital), Jonathan Christodoro (Former Managing Director of Icahn Capital, Director of PayPal &amp; Xerox, and Former Director of eBay, Lyft, &amp; Herbalife), Laurence Greenberg (Former COO of Telebanc), Steve Lockshin (Founder of Lydian Wealth Management, Founder of AdvicePeriod, and Former Chairman of Convergent Wealth Advisors)</v>
      </c>
      <c r="G763" s="60">
        <f>IFERROR(__xludf.DUMMYFUNCTION("""COMPUTED_VALUE"""),2.5E8)</f>
        <v>250000000</v>
      </c>
      <c r="H763" s="60" t="str">
        <f>IFERROR(__xludf.DUMMYFUNCTION("""COMPUTED_VALUE""")," ")</f>
        <v> </v>
      </c>
      <c r="I763" s="66" t="str">
        <f>IFERROR(__xludf.DUMMYFUNCTION("""COMPUTED_VALUE""")," ")</f>
        <v> </v>
      </c>
      <c r="J763" s="62" t="str">
        <f>IFERROR(__xludf.DUMMYFUNCTION("""COMPUTED_VALUE""")," ")</f>
        <v> </v>
      </c>
      <c r="K763" s="59" t="str">
        <f>IFERROR(__xludf.DUMMYFUNCTION("""COMPUTED_VALUE""")," ")</f>
        <v> </v>
      </c>
      <c r="L763" s="87" t="str">
        <f>IFERROR(__xludf.DUMMYFUNCTION("""COMPUTED_VALUE""")," ")</f>
        <v> </v>
      </c>
      <c r="M763" s="64" t="str">
        <f>IFERROR(__xludf.DUMMYFUNCTION("""COMPUTED_VALUE"""),"U: [1/3 W]; W: [1:1, $11.5]")</f>
        <v>U: [1/3 W]; W: [1:1, $11.5]</v>
      </c>
      <c r="N763" s="65" t="str">
        <f>IFERROR(__xludf.DUMMYFUNCTION("""COMPUTED_VALUE"""),"")</f>
        <v/>
      </c>
      <c r="O763" s="66">
        <f>IFERROR(__xludf.DUMMYFUNCTION("""COMPUTED_VALUE"""),0.0)</f>
        <v>0</v>
      </c>
      <c r="P763" s="67"/>
      <c r="Q763" s="68">
        <f>IFERROR(__xludf.DUMMYFUNCTION("""COMPUTED_VALUE"""),250.0)</f>
        <v>250</v>
      </c>
      <c r="R763" s="69" t="str">
        <f>IFERROR(__xludf.DUMMYFUNCTION("""COMPUTED_VALUE"""),"Morgan Stanley, BofA Securities")</f>
        <v>Morgan Stanley, BofA Securities</v>
      </c>
      <c r="S763" s="64">
        <f>IFERROR(__xludf.DUMMYFUNCTION("""COMPUTED_VALUE"""),45086.0)</f>
        <v>45086</v>
      </c>
      <c r="T763" s="70" t="str">
        <f>IFERROR(__xludf.DUMMYFUNCTION("""COMPUTED_VALUE"""),"")</f>
        <v/>
      </c>
      <c r="U763" s="71" t="str">
        <f>IFERROR(__xludf.DUMMYFUNCTION("""COMPUTED_VALUE"""),"https://www.sec.gov/cgi-bin/browse-edgar?CIK=1846764")</f>
        <v>https://www.sec.gov/cgi-bin/browse-edgar?CIK=1846764</v>
      </c>
      <c r="V763" s="72" t="str">
        <f>IFERROR(__xludf.DUMMYFUNCTION("""COMPUTED_VALUE"""),"         Well-known Sponsor  Top Tier UW ")</f>
        <v>         Well-known Sponsor  Top Tier UW </v>
      </c>
      <c r="W763" s="73"/>
      <c r="X763" s="74"/>
      <c r="Y763" s="75"/>
      <c r="Z763" s="60"/>
      <c r="AA763" s="60"/>
      <c r="AB763" s="60"/>
      <c r="AC763" s="60"/>
      <c r="AD763" s="73"/>
      <c r="AE763" s="73"/>
      <c r="AF763" s="76"/>
      <c r="AG763" s="60"/>
    </row>
    <row r="764">
      <c r="A764" s="54" t="str">
        <f>IFERROR(__xludf.DUMMYFUNCTION("""COMPUTED_VALUE"""),"VENA")</f>
        <v>VENA</v>
      </c>
      <c r="B764" s="55" t="str">
        <f>IFERROR(__xludf.DUMMYFUNCTION("""COMPUTED_VALUE"""),"Venus Acquisition Corporation")</f>
        <v>Venus Acquisition Corporation</v>
      </c>
      <c r="C764" s="56" t="str">
        <f>IFERROR(__xludf.DUMMYFUNCTION("""COMPUTED_VALUE"""),"Searching (Pre Unit Split)")</f>
        <v>Searching (Pre Unit Split)</v>
      </c>
      <c r="D764" s="57" t="str">
        <f>IFERROR(__xludf.DUMMYFUNCTION("""COMPUTED_VALUE"""),"Asia")</f>
        <v>Asia</v>
      </c>
      <c r="E764" s="58"/>
      <c r="F764" s="59"/>
      <c r="G764" s="60">
        <f>IFERROR(__xludf.DUMMYFUNCTION("""COMPUTED_VALUE"""),4.6E7)</f>
        <v>46000000</v>
      </c>
      <c r="H764" s="60" t="str">
        <f>IFERROR(__xludf.DUMMYFUNCTION("""COMPUTED_VALUE""")," ")</f>
        <v> </v>
      </c>
      <c r="I764" s="66" t="str">
        <f>IFERROR(__xludf.DUMMYFUNCTION("""COMPUTED_VALUE""")," ")</f>
        <v> </v>
      </c>
      <c r="J764" s="62" t="str">
        <f>IFERROR(__xludf.DUMMYFUNCTION("""COMPUTED_VALUE""")," ")</f>
        <v> </v>
      </c>
      <c r="K764" s="59">
        <f>IFERROR(__xludf.DUMMYFUNCTION("""COMPUTED_VALUE"""),10.03)</f>
        <v>10.03</v>
      </c>
      <c r="L764" s="87" t="str">
        <f>IFERROR(__xludf.DUMMYFUNCTION("""COMPUTED_VALUE""")," ")</f>
        <v> </v>
      </c>
      <c r="M764" s="64" t="str">
        <f>IFERROR(__xludf.DUMMYFUNCTION("""COMPUTED_VALUE"""),"U: [1 W, 1 R (1/10 sh)]; W: [1:1, $11.5]")</f>
        <v>U: [1 W, 1 R (1/10 sh)]; W: [1:1, $11.5]</v>
      </c>
      <c r="N764" s="65">
        <f>IFERROR(__xludf.DUMMYFUNCTION("""COMPUTED_VALUE"""),44287.0)</f>
        <v>44287</v>
      </c>
      <c r="O764" s="66" t="str">
        <f>IFERROR(__xludf.DUMMYFUNCTION("""COMPUTED_VALUE"""),"")</f>
        <v/>
      </c>
      <c r="P764" s="67">
        <f>IFERROR(__xludf.DUMMYFUNCTION("""COMPUTED_VALUE"""),44235.0)</f>
        <v>44235</v>
      </c>
      <c r="Q764" s="68">
        <f>IFERROR(__xludf.DUMMYFUNCTION("""COMPUTED_VALUE"""),46.0)</f>
        <v>46</v>
      </c>
      <c r="R764" s="69" t="str">
        <f>IFERROR(__xludf.DUMMYFUNCTION("""COMPUTED_VALUE"""),"Ladenburg Thalmann, Brookline Capital Markets")</f>
        <v>Ladenburg Thalmann, Brookline Capital Markets</v>
      </c>
      <c r="S764" s="64">
        <f>IFERROR(__xludf.DUMMYFUNCTION("""COMPUTED_VALUE"""),44600.0)</f>
        <v>44600</v>
      </c>
      <c r="T764" s="70">
        <f>IFERROR(__xludf.DUMMYFUNCTION("""COMPUTED_VALUE"""),0.16712328767123288)</f>
        <v>0.1671232877</v>
      </c>
      <c r="U764" s="71" t="str">
        <f>IFERROR(__xludf.DUMMYFUNCTION("""COMPUTED_VALUE"""),"https://www.sec.gov/cgi-bin/browse-edgar?CIK=1800392")</f>
        <v>https://www.sec.gov/cgi-bin/browse-edgar?CIK=1800392</v>
      </c>
      <c r="V764" s="72" t="str">
        <f>IFERROR(__xludf.DUMMYFUNCTION("""COMPUTED_VALUE"""),"       Has Rights     ")</f>
        <v>       Has Rights     </v>
      </c>
      <c r="W764" s="73"/>
      <c r="X764" s="74"/>
      <c r="Y764" s="75"/>
      <c r="Z764" s="60"/>
      <c r="AA764" s="60"/>
      <c r="AB764" s="60"/>
      <c r="AC764" s="60"/>
      <c r="AD764" s="73"/>
      <c r="AE764" s="73"/>
      <c r="AF764" s="76"/>
      <c r="AG764" s="60" t="str">
        <f>IFERROR(__xludf.DUMMYFUNCTION("""COMPUTED_VALUE"""),"")</f>
        <v/>
      </c>
    </row>
    <row r="765">
      <c r="A765" s="54" t="str">
        <f>IFERROR(__xludf.DUMMYFUNCTION("""COMPUTED_VALUE"""),"VGAC")</f>
        <v>VGAC</v>
      </c>
      <c r="B765" s="55" t="str">
        <f>IFERROR(__xludf.DUMMYFUNCTION("""COMPUTED_VALUE"""),"VG Acquisition Corp")</f>
        <v>VG Acquisition Corp</v>
      </c>
      <c r="C765" s="56" t="str">
        <f>IFERROR(__xludf.DUMMYFUNCTION("""COMPUTED_VALUE"""),"Definitive Agreement")</f>
        <v>Definitive Agreement</v>
      </c>
      <c r="D765" s="57"/>
      <c r="E765" s="58" t="str">
        <f>IFERROR(__xludf.DUMMYFUNCTION("""COMPUTED_VALUE"""),"23andMe [DA: 02/04/21]")</f>
        <v>23andMe [DA: 02/04/21]</v>
      </c>
      <c r="F765" s="59" t="str">
        <f>IFERROR(__xludf.DUMMYFUNCTION("""COMPUTED_VALUE"""),"Sir Richard Branson, Josh Bayliss (CEO, Virgin Group), Evan Lovell (CIO, Virgin Group), Teresa Briggs (Director of Snowflake, Docusign, ServiceNow, JAND/Warby Parker)")</f>
        <v>Sir Richard Branson, Josh Bayliss (CEO, Virgin Group), Evan Lovell (CIO, Virgin Group), Teresa Briggs (Director of Snowflake, Docusign, ServiceNow, JAND/Warby Parker)</v>
      </c>
      <c r="G765" s="60">
        <f>IFERROR(__xludf.DUMMYFUNCTION("""COMPUTED_VALUE"""),5.08645349E8)</f>
        <v>508645349</v>
      </c>
      <c r="H765" s="60">
        <f>IFERROR(__xludf.DUMMYFUNCTION("""COMPUTED_VALUE"""),5.116013E8)</f>
        <v>511601300</v>
      </c>
      <c r="I765" s="66">
        <f>IFERROR(__xludf.DUMMYFUNCTION("""COMPUTED_VALUE"""),10.06)</f>
        <v>10.06</v>
      </c>
      <c r="J765" s="62">
        <f>IFERROR(__xludf.DUMMYFUNCTION("""COMPUTED_VALUE"""),-0.00396)</f>
        <v>-0.00396</v>
      </c>
      <c r="K765" s="59">
        <f>IFERROR(__xludf.DUMMYFUNCTION("""COMPUTED_VALUE"""),10.59)</f>
        <v>10.59</v>
      </c>
      <c r="L765" s="87">
        <f>IFERROR(__xludf.DUMMYFUNCTION("""COMPUTED_VALUE"""),1.8299)</f>
        <v>1.8299</v>
      </c>
      <c r="M765" s="64" t="str">
        <f>IFERROR(__xludf.DUMMYFUNCTION("""COMPUTED_VALUE"""),"U: [1/3 W]; W: [1:1, $11.5]")</f>
        <v>U: [1/3 W]; W: [1:1, $11.5]</v>
      </c>
      <c r="N765" s="65" t="str">
        <f>IFERROR(__xludf.DUMMYFUNCTION("""COMPUTED_VALUE"""),"")</f>
        <v/>
      </c>
      <c r="O765" s="66">
        <f>IFERROR(__xludf.DUMMYFUNCTION("""COMPUTED_VALUE"""),0.0)</f>
        <v>0</v>
      </c>
      <c r="P765" s="67">
        <f>IFERROR(__xludf.DUMMYFUNCTION("""COMPUTED_VALUE"""),44105.0)</f>
        <v>44105</v>
      </c>
      <c r="Q765" s="68">
        <f>IFERROR(__xludf.DUMMYFUNCTION("""COMPUTED_VALUE"""),508.55)</f>
        <v>508.55</v>
      </c>
      <c r="R765" s="69" t="str">
        <f>IFERROR(__xludf.DUMMYFUNCTION("""COMPUTED_VALUE"""),"Credit Suisse")</f>
        <v>Credit Suisse</v>
      </c>
      <c r="S765" s="64">
        <f>IFERROR(__xludf.DUMMYFUNCTION("""COMPUTED_VALUE"""),44835.0)</f>
        <v>44835</v>
      </c>
      <c r="T765" s="70">
        <f>IFERROR(__xludf.DUMMYFUNCTION("""COMPUTED_VALUE"""),0.26164383561643834)</f>
        <v>0.2616438356</v>
      </c>
      <c r="U765" s="71" t="str">
        <f>IFERROR(__xludf.DUMMYFUNCTION("""COMPUTED_VALUE"""),"https://www.sec.gov/cgi-bin/browse-edgar?CIK=1804591")</f>
        <v>https://www.sec.gov/cgi-bin/browse-edgar?CIK=1804591</v>
      </c>
      <c r="V765" s="72" t="str">
        <f>IFERROR(__xludf.DUMMYFUNCTION("""COMPUTED_VALUE"""),"   $500M+ Trust Optionable    Well-known Sponsor Serial Sponsor  ")</f>
        <v>   $500M+ Trust Optionable    Well-known Sponsor Serial Sponsor  </v>
      </c>
      <c r="W765" s="73">
        <f>IFERROR(__xludf.DUMMYFUNCTION("""COMPUTED_VALUE"""),44231.0)</f>
        <v>44231</v>
      </c>
      <c r="X765" s="79">
        <f>IFERROR(__xludf.DUMMYFUNCTION("""COMPUTED_VALUE"""),4.2)</f>
        <v>4.2</v>
      </c>
      <c r="Y765" s="80" t="str">
        <f>IFERROR(__xludf.DUMMYFUNCTION("""COMPUTED_VALUE"""),"https://www.prnewswire.com/news-releases/23andme-to-merge-with-virgin-groups-vg-acquisition-corp-to-become-publicly-traded-company-set-to-revolutionize-personalized-healthcare-and-therapeutic-development-through-human-genetics-301222219.html")</f>
        <v>https://www.prnewswire.com/news-releases/23andme-to-merge-with-virgin-groups-vg-acquisition-corp-to-become-publicly-traded-company-set-to-revolutionize-personalized-healthcare-and-therapeutic-development-through-human-genetics-301222219.html</v>
      </c>
      <c r="Z765" s="81" t="str">
        <f>IFERROR(__xludf.DUMMYFUNCTION("""COMPUTED_VALUE"""),"https://www.sec.gov/Archives/edgar/data/1804591/000095010321001779/dp145636_ex9902.htm")</f>
        <v>https://www.sec.gov/Archives/edgar/data/1804591/000095010321001779/dp145636_ex9902.htm</v>
      </c>
      <c r="AA765" s="60">
        <f>IFERROR(__xludf.DUMMYFUNCTION("""COMPUTED_VALUE"""),2.5E8)</f>
        <v>250000000</v>
      </c>
      <c r="AB765" s="60">
        <f>IFERROR(__xludf.DUMMYFUNCTION("""COMPUTED_VALUE"""),4.448E9)</f>
        <v>4448000000</v>
      </c>
      <c r="AC765" s="60">
        <f>IFERROR(__xludf.DUMMYFUNCTION("""COMPUTED_VALUE"""),3.463E9)</f>
        <v>3463000000</v>
      </c>
      <c r="AD765" s="73"/>
      <c r="AE765" s="73"/>
      <c r="AF765" s="76">
        <f>IFERROR(__xludf.DUMMYFUNCTION("""COMPUTED_VALUE"""),4.448E8)</f>
        <v>444800000</v>
      </c>
      <c r="AG765" s="60">
        <f>IFERROR(__xludf.DUMMYFUNCTION("""COMPUTED_VALUE"""),4.474688E9)</f>
        <v>4474688000</v>
      </c>
    </row>
    <row r="766">
      <c r="A766" s="88" t="str">
        <f>IFERROR(__xludf.DUMMYFUNCTION("""COMPUTED_VALUE"""),"VGII")</f>
        <v>VGII</v>
      </c>
      <c r="B766" s="55" t="str">
        <f>IFERROR(__xludf.DUMMYFUNCTION("""COMPUTED_VALUE"""),"Virgin Group Acquisition Corp. II")</f>
        <v>Virgin Group Acquisition Corp. II</v>
      </c>
      <c r="C766" s="56" t="str">
        <f>IFERROR(__xludf.DUMMYFUNCTION("""COMPUTED_VALUE"""),"Searching (Pre Unit Split)")</f>
        <v>Searching (Pre Unit Split)</v>
      </c>
      <c r="D766" s="57" t="str">
        <f>IFERROR(__xludf.DUMMYFUNCTION("""COMPUTED_VALUE"""),"Consumer")</f>
        <v>Consumer</v>
      </c>
      <c r="E766" s="58"/>
      <c r="F766" s="59" t="str">
        <f>IFERROR(__xludf.DUMMYFUNCTION("""COMPUTED_VALUE"""),"Sir Richard Branson, Josh Bayliss (CEO, the Virgin Group)")</f>
        <v>Sir Richard Branson, Josh Bayliss (CEO, the Virgin Group)</v>
      </c>
      <c r="G766" s="60">
        <f>IFERROR(__xludf.DUMMYFUNCTION("""COMPUTED_VALUE"""),3.5E8)</f>
        <v>350000000</v>
      </c>
      <c r="H766" s="60" t="str">
        <f>IFERROR(__xludf.DUMMYFUNCTION("""COMPUTED_VALUE""")," ")</f>
        <v> </v>
      </c>
      <c r="I766" s="66" t="str">
        <f>IFERROR(__xludf.DUMMYFUNCTION("""COMPUTED_VALUE""")," ")</f>
        <v> </v>
      </c>
      <c r="J766" s="62" t="str">
        <f>IFERROR(__xludf.DUMMYFUNCTION("""COMPUTED_VALUE""")," ")</f>
        <v> </v>
      </c>
      <c r="K766" s="59">
        <f>IFERROR(__xludf.DUMMYFUNCTION("""COMPUTED_VALUE"""),10.02)</f>
        <v>10.02</v>
      </c>
      <c r="L766" s="87" t="str">
        <f>IFERROR(__xludf.DUMMYFUNCTION("""COMPUTED_VALUE""")," ")</f>
        <v> </v>
      </c>
      <c r="M766" s="64" t="str">
        <f>IFERROR(__xludf.DUMMYFUNCTION("""COMPUTED_VALUE"""),"U: [1/5 W]; W: [1:1, $11.5]")</f>
        <v>U: [1/5 W]; W: [1:1, $11.5]</v>
      </c>
      <c r="N766" s="65">
        <f>IFERROR(__xludf.DUMMYFUNCTION("""COMPUTED_VALUE"""),44329.0)</f>
        <v>44329</v>
      </c>
      <c r="O766" s="66" t="str">
        <f>IFERROR(__xludf.DUMMYFUNCTION("""COMPUTED_VALUE"""),"")</f>
        <v/>
      </c>
      <c r="P766" s="67">
        <f>IFERROR(__xludf.DUMMYFUNCTION("""COMPUTED_VALUE"""),44277.0)</f>
        <v>44277</v>
      </c>
      <c r="Q766" s="68">
        <f>IFERROR(__xludf.DUMMYFUNCTION("""COMPUTED_VALUE"""),350.0)</f>
        <v>350</v>
      </c>
      <c r="R766" s="69" t="str">
        <f>IFERROR(__xludf.DUMMYFUNCTION("""COMPUTED_VALUE"""),"Credit Suisse")</f>
        <v>Credit Suisse</v>
      </c>
      <c r="S766" s="64">
        <f>IFERROR(__xludf.DUMMYFUNCTION("""COMPUTED_VALUE"""),45007.0)</f>
        <v>45007</v>
      </c>
      <c r="T766" s="70">
        <f>IFERROR(__xludf.DUMMYFUNCTION("""COMPUTED_VALUE"""),0.026027397260273973)</f>
        <v>0.02602739726</v>
      </c>
      <c r="U766" s="71" t="str">
        <f>IFERROR(__xludf.DUMMYFUNCTION("""COMPUTED_VALUE"""),"https://www.sec.gov/cgi-bin/browse-edgar?CIK=1841761")</f>
        <v>https://www.sec.gov/cgi-bin/browse-edgar?CIK=1841761</v>
      </c>
      <c r="V766" s="72" t="str">
        <f>IFERROR(__xludf.DUMMYFUNCTION("""COMPUTED_VALUE"""),"         Well-known Sponsor Serial Sponsor  ")</f>
        <v>         Well-known Sponsor Serial Sponsor  </v>
      </c>
      <c r="W766" s="73"/>
      <c r="X766" s="74"/>
      <c r="Y766" s="75"/>
      <c r="Z766" s="60"/>
      <c r="AA766" s="60"/>
      <c r="AB766" s="60"/>
      <c r="AC766" s="60"/>
      <c r="AD766" s="73"/>
      <c r="AE766" s="73"/>
      <c r="AF766" s="76"/>
      <c r="AG766" s="60"/>
    </row>
    <row r="767">
      <c r="A767" s="54" t="str">
        <f>IFERROR(__xludf.DUMMYFUNCTION("""COMPUTED_VALUE"""),"VHAQ")</f>
        <v>VHAQ</v>
      </c>
      <c r="B767" s="55" t="str">
        <f>IFERROR(__xludf.DUMMYFUNCTION("""COMPUTED_VALUE"""),"Viveon Health Acquisition Corp.")</f>
        <v>Viveon Health Acquisition Corp.</v>
      </c>
      <c r="C767" s="56" t="str">
        <f>IFERROR(__xludf.DUMMYFUNCTION("""COMPUTED_VALUE"""),"Searching")</f>
        <v>Searching</v>
      </c>
      <c r="D767" s="57" t="str">
        <f>IFERROR(__xludf.DUMMYFUNCTION("""COMPUTED_VALUE"""),"Healthcare")</f>
        <v>Healthcare</v>
      </c>
      <c r="E767" s="58"/>
      <c r="F767" s="59"/>
      <c r="G767" s="60">
        <f>IFERROR(__xludf.DUMMYFUNCTION("""COMPUTED_VALUE"""),2.032625E8)</f>
        <v>203262500</v>
      </c>
      <c r="H767" s="60"/>
      <c r="I767" s="66">
        <f>IFERROR(__xludf.DUMMYFUNCTION("""COMPUTED_VALUE"""),9.98)</f>
        <v>9.98</v>
      </c>
      <c r="J767" s="62">
        <f>IFERROR(__xludf.DUMMYFUNCTION("""COMPUTED_VALUE"""),0.00527)</f>
        <v>0.00527</v>
      </c>
      <c r="K767" s="59">
        <f>IFERROR(__xludf.DUMMYFUNCTION("""COMPUTED_VALUE"""),10.51)</f>
        <v>10.51</v>
      </c>
      <c r="L767" s="87">
        <f>IFERROR(__xludf.DUMMYFUNCTION("""COMPUTED_VALUE"""),0.4)</f>
        <v>0.4</v>
      </c>
      <c r="M767" s="64" t="str">
        <f>IFERROR(__xludf.DUMMYFUNCTION("""COMPUTED_VALUE"""),"U: [1 W, 1 R (1/20 sh)]; W: [2:1, $11.5]")</f>
        <v>U: [1 W, 1 R (1/20 sh)]; W: [2:1, $11.5]</v>
      </c>
      <c r="N767" s="65" t="str">
        <f>IFERROR(__xludf.DUMMYFUNCTION("""COMPUTED_VALUE"""),"")</f>
        <v/>
      </c>
      <c r="O767" s="66">
        <f>IFERROR(__xludf.DUMMYFUNCTION("""COMPUTED_VALUE"""),0.0)</f>
        <v>0</v>
      </c>
      <c r="P767" s="67">
        <f>IFERROR(__xludf.DUMMYFUNCTION("""COMPUTED_VALUE"""),44188.0)</f>
        <v>44188</v>
      </c>
      <c r="Q767" s="68">
        <f>IFERROR(__xludf.DUMMYFUNCTION("""COMPUTED_VALUE"""),203.2625)</f>
        <v>203.2625</v>
      </c>
      <c r="R767" s="69" t="str">
        <f>IFERROR(__xludf.DUMMYFUNCTION("""COMPUTED_VALUE"""),"Chardan")</f>
        <v>Chardan</v>
      </c>
      <c r="S767" s="64">
        <f>IFERROR(__xludf.DUMMYFUNCTION("""COMPUTED_VALUE"""),44644.25)</f>
        <v>44644.25</v>
      </c>
      <c r="T767" s="70">
        <f>IFERROR(__xludf.DUMMYFUNCTION("""COMPUTED_VALUE"""),0.23671232876712328)</f>
        <v>0.2367123288</v>
      </c>
      <c r="U767" s="71" t="str">
        <f>IFERROR(__xludf.DUMMYFUNCTION("""COMPUTED_VALUE"""),"https://www.sec.gov/cgi-bin/browse-edgar?CIK=1823857")</f>
        <v>https://www.sec.gov/cgi-bin/browse-edgar?CIK=1823857</v>
      </c>
      <c r="V767" s="72" t="str">
        <f>IFERROR(__xludf.DUMMYFUNCTION("""COMPUTED_VALUE""")," Trading Below $10 (Common)      Has Rights     ")</f>
        <v> Trading Below $10 (Common)      Has Rights     </v>
      </c>
      <c r="W767" s="73"/>
      <c r="X767" s="74"/>
      <c r="Y767" s="75"/>
      <c r="Z767" s="60"/>
      <c r="AA767" s="60"/>
      <c r="AB767" s="60"/>
      <c r="AC767" s="60"/>
      <c r="AD767" s="73"/>
      <c r="AE767" s="73"/>
      <c r="AF767" s="76"/>
      <c r="AG767" s="60" t="str">
        <f>IFERROR(__xludf.DUMMYFUNCTION("""COMPUTED_VALUE"""),"")</f>
        <v/>
      </c>
    </row>
    <row r="768">
      <c r="A768" s="54" t="str">
        <f>IFERROR(__xludf.DUMMYFUNCTION("""COMPUTED_VALUE"""),"VIH")</f>
        <v>VIH</v>
      </c>
      <c r="B768" s="55" t="str">
        <f>IFERROR(__xludf.DUMMYFUNCTION("""COMPUTED_VALUE"""),"VPC Impact Acquisition Holdings")</f>
        <v>VPC Impact Acquisition Holdings</v>
      </c>
      <c r="C768" s="56" t="str">
        <f>IFERROR(__xludf.DUMMYFUNCTION("""COMPUTED_VALUE"""),"Definitive Agreement")</f>
        <v>Definitive Agreement</v>
      </c>
      <c r="D768" s="57" t="str">
        <f>IFERROR(__xludf.DUMMYFUNCTION("""COMPUTED_VALUE"""),"Fintech")</f>
        <v>Fintech</v>
      </c>
      <c r="E768" s="58" t="str">
        <f>IFERROR(__xludf.DUMMYFUNCTION("""COMPUTED_VALUE"""),"Bakkt [DA: 01/11/21]")</f>
        <v>Bakkt [DA: 01/11/21]</v>
      </c>
      <c r="F768" s="59"/>
      <c r="G768" s="60">
        <f>IFERROR(__xludf.DUMMYFUNCTION("""COMPUTED_VALUE"""),2.00000164E8)</f>
        <v>200000164</v>
      </c>
      <c r="H768" s="60">
        <f>IFERROR(__xludf.DUMMYFUNCTION("""COMPUTED_VALUE"""),2.95433879E8)</f>
        <v>295433879</v>
      </c>
      <c r="I768" s="66">
        <f>IFERROR(__xludf.DUMMYFUNCTION("""COMPUTED_VALUE"""),14.25)</f>
        <v>14.25</v>
      </c>
      <c r="J768" s="62">
        <f>IFERROR(__xludf.DUMMYFUNCTION("""COMPUTED_VALUE"""),-0.03781)</f>
        <v>-0.03781</v>
      </c>
      <c r="K768" s="59" t="str">
        <f>IFERROR(__xludf.DUMMYFUNCTION("""COMPUTED_VALUE""")," ")</f>
        <v> </v>
      </c>
      <c r="L768" s="87" t="str">
        <f>IFERROR(__xludf.DUMMYFUNCTION("""COMPUTED_VALUE""")," ")</f>
        <v> </v>
      </c>
      <c r="M768" s="64" t="str">
        <f>IFERROR(__xludf.DUMMYFUNCTION("""COMPUTED_VALUE"""),"U: [1/2 W]; W: [1:1, $11.5]")</f>
        <v>U: [1/2 W]; W: [1:1, $11.5]</v>
      </c>
      <c r="N768" s="65" t="str">
        <f>IFERROR(__xludf.DUMMYFUNCTION("""COMPUTED_VALUE"""),"")</f>
        <v/>
      </c>
      <c r="O768" s="66">
        <f>IFERROR(__xludf.DUMMYFUNCTION("""COMPUTED_VALUE"""),2.75)</f>
        <v>2.75</v>
      </c>
      <c r="P768" s="67">
        <f>IFERROR(__xludf.DUMMYFUNCTION("""COMPUTED_VALUE"""),44096.0)</f>
        <v>44096</v>
      </c>
      <c r="Q768" s="68">
        <f>IFERROR(__xludf.DUMMYFUNCTION("""COMPUTED_VALUE"""),200.0)</f>
        <v>200</v>
      </c>
      <c r="R768" s="69" t="str">
        <f>IFERROR(__xludf.DUMMYFUNCTION("""COMPUTED_VALUE"""),"Jefferies")</f>
        <v>Jefferies</v>
      </c>
      <c r="S768" s="64">
        <f>IFERROR(__xludf.DUMMYFUNCTION("""COMPUTED_VALUE"""),44826.0)</f>
        <v>44826</v>
      </c>
      <c r="T768" s="70">
        <f>IFERROR(__xludf.DUMMYFUNCTION("""COMPUTED_VALUE"""),0.273972602739726)</f>
        <v>0.2739726027</v>
      </c>
      <c r="U768" s="71" t="str">
        <f>IFERROR(__xludf.DUMMYFUNCTION("""COMPUTED_VALUE"""),"https://www.sec.gov/cgi-bin/browse-edgar?CIK=1820302")</f>
        <v>https://www.sec.gov/cgi-bin/browse-edgar?CIK=1820302</v>
      </c>
      <c r="V768" s="72" t="str">
        <f>IFERROR(__xludf.DUMMYFUNCTION("""COMPUTED_VALUE"""),"     Optionable     Serial Sponsor  ")</f>
        <v>     Optionable     Serial Sponsor  </v>
      </c>
      <c r="W768" s="73">
        <f>IFERROR(__xludf.DUMMYFUNCTION("""COMPUTED_VALUE"""),44207.0)</f>
        <v>44207</v>
      </c>
      <c r="X768" s="79">
        <f>IFERROR(__xludf.DUMMYFUNCTION("""COMPUTED_VALUE"""),3.7)</f>
        <v>3.7</v>
      </c>
      <c r="Y768" s="80" t="str">
        <f>IFERROR(__xludf.DUMMYFUNCTION("""COMPUTED_VALUE"""),"https://www.businesswire.com/news/home/20210111005532/en/Bakkt-the-Digital-Asset-Marketplace-Launched-by-Intercontinental-Exchange-in-2018-to-Become-a-Publicly-Traded-Company-via-Merger-with-VPC-Impact-Acquisition-Holdings")</f>
        <v>https://www.businesswire.com/news/home/20210111005532/en/Bakkt-the-Digital-Asset-Marketplace-Launched-by-Intercontinental-Exchange-in-2018-to-Become-a-Publicly-Traded-Company-via-Merger-with-VPC-Impact-Acquisition-Holdings</v>
      </c>
      <c r="Z768" s="81" t="str">
        <f>IFERROR(__xludf.DUMMYFUNCTION("""COMPUTED_VALUE"""),"https://www.sec.gov/Archives/edgar/data/1820302/000119312521005832/d913171dex992.htm")</f>
        <v>https://www.sec.gov/Archives/edgar/data/1820302/000119312521005832/d913171dex992.htm</v>
      </c>
      <c r="AA768" s="60">
        <f>IFERROR(__xludf.DUMMYFUNCTION("""COMPUTED_VALUE"""),3.25E8)</f>
        <v>325000000</v>
      </c>
      <c r="AB768" s="60">
        <f>IFERROR(__xludf.DUMMYFUNCTION("""COMPUTED_VALUE"""),2.666E9)</f>
        <v>2666000000</v>
      </c>
      <c r="AC768" s="60">
        <f>IFERROR(__xludf.DUMMYFUNCTION("""COMPUTED_VALUE"""),2.092E9)</f>
        <v>2092000000</v>
      </c>
      <c r="AD768" s="73"/>
      <c r="AE768" s="73"/>
      <c r="AF768" s="76">
        <f>IFERROR(__xludf.DUMMYFUNCTION("""COMPUTED_VALUE"""),2.67E8)</f>
        <v>267000000</v>
      </c>
      <c r="AG768" s="60">
        <f>IFERROR(__xludf.DUMMYFUNCTION("""COMPUTED_VALUE"""),3.80475E9)</f>
        <v>3804750000</v>
      </c>
    </row>
    <row r="769">
      <c r="A769" s="54" t="str">
        <f>IFERROR(__xludf.DUMMYFUNCTION("""COMPUTED_VALUE"""),"VII")</f>
        <v>VII</v>
      </c>
      <c r="B769" s="55" t="str">
        <f>IFERROR(__xludf.DUMMYFUNCTION("""COMPUTED_VALUE"""),"7GC &amp; Co. Holdings Inc.")</f>
        <v>7GC &amp; Co. Holdings Inc.</v>
      </c>
      <c r="C769" s="56" t="str">
        <f>IFERROR(__xludf.DUMMYFUNCTION("""COMPUTED_VALUE"""),"Searching")</f>
        <v>Searching</v>
      </c>
      <c r="D769" s="57" t="str">
        <f>IFERROR(__xludf.DUMMYFUNCTION("""COMPUTED_VALUE"""),"Tech")</f>
        <v>Tech</v>
      </c>
      <c r="E769" s="58" t="str">
        <f>IFERROR(__xludf.DUMMYFUNCTION("""COMPUTED_VALUE"""),"[In talks (unconfirmed) with Vice Media: Per The Information 3/31/21]")</f>
        <v>[In talks (unconfirmed) with Vice Media: Per The Information 3/31/21]</v>
      </c>
      <c r="F769" s="59" t="str">
        <f>IFERROR(__xludf.DUMMYFUNCTION("""COMPUTED_VALUE"""),"Jack Leeney (Founding Partner, 7GC), Thomas Hennessy (Co-CEO, PTAC), Patrick Eggen (Founding Partner, Counterpart Ventures)")</f>
        <v>Jack Leeney (Founding Partner, 7GC), Thomas Hennessy (Co-CEO, PTAC), Patrick Eggen (Founding Partner, Counterpart Ventures)</v>
      </c>
      <c r="G769" s="60">
        <f>IFERROR(__xludf.DUMMYFUNCTION("""COMPUTED_VALUE"""),2.30000189E8)</f>
        <v>230000189</v>
      </c>
      <c r="H769" s="60">
        <f>IFERROR(__xludf.DUMMYFUNCTION("""COMPUTED_VALUE"""),2.2839E8)</f>
        <v>228390000</v>
      </c>
      <c r="I769" s="66">
        <f>IFERROR(__xludf.DUMMYFUNCTION("""COMPUTED_VALUE"""),9.93)</f>
        <v>9.93</v>
      </c>
      <c r="J769" s="62"/>
      <c r="K769" s="59" t="str">
        <f>IFERROR(__xludf.DUMMYFUNCTION("""COMPUTED_VALUE""")," ")</f>
        <v> </v>
      </c>
      <c r="L769" s="87" t="str">
        <f>IFERROR(__xludf.DUMMYFUNCTION("""COMPUTED_VALUE""")," ")</f>
        <v> </v>
      </c>
      <c r="M769" s="64" t="str">
        <f>IFERROR(__xludf.DUMMYFUNCTION("""COMPUTED_VALUE"""),"U: [1/2 W]; W: [1:1, $11.5]")</f>
        <v>U: [1/2 W]; W: [1:1, $11.5]</v>
      </c>
      <c r="N769" s="65" t="str">
        <f>IFERROR(__xludf.DUMMYFUNCTION("""COMPUTED_VALUE"""),"")</f>
        <v/>
      </c>
      <c r="O769" s="66">
        <f>IFERROR(__xludf.DUMMYFUNCTION("""COMPUTED_VALUE"""),0.0)</f>
        <v>0</v>
      </c>
      <c r="P769" s="67">
        <f>IFERROR(__xludf.DUMMYFUNCTION("""COMPUTED_VALUE"""),44187.0)</f>
        <v>44187</v>
      </c>
      <c r="Q769" s="68">
        <f>IFERROR(__xludf.DUMMYFUNCTION("""COMPUTED_VALUE"""),230.0)</f>
        <v>230</v>
      </c>
      <c r="R769" s="69" t="str">
        <f>IFERROR(__xludf.DUMMYFUNCTION("""COMPUTED_VALUE"""),"Cantor")</f>
        <v>Cantor</v>
      </c>
      <c r="S769" s="64">
        <f>IFERROR(__xludf.DUMMYFUNCTION("""COMPUTED_VALUE"""),44917.0)</f>
        <v>44917</v>
      </c>
      <c r="T769" s="70">
        <f>IFERROR(__xludf.DUMMYFUNCTION("""COMPUTED_VALUE"""),0.14931506849315068)</f>
        <v>0.1493150685</v>
      </c>
      <c r="U769" s="71" t="str">
        <f>IFERROR(__xludf.DUMMYFUNCTION("""COMPUTED_VALUE"""),"https://www.sec.gov/cgi-bin/browse-edgar?CIK=1826011")</f>
        <v>https://www.sec.gov/cgi-bin/browse-edgar?CIK=1826011</v>
      </c>
      <c r="V769" s="72" t="str">
        <f>IFERROR(__xludf.DUMMYFUNCTION("""COMPUTED_VALUE"""),"Venture Capital Trading Below $10 (Common)           ")</f>
        <v>Venture Capital Trading Below $10 (Common)           </v>
      </c>
      <c r="W769" s="73"/>
      <c r="X769" s="74"/>
      <c r="Y769" s="75"/>
      <c r="Z769" s="60"/>
      <c r="AA769" s="60"/>
      <c r="AB769" s="60"/>
      <c r="AC769" s="60"/>
      <c r="AD769" s="73"/>
      <c r="AE769" s="73"/>
      <c r="AF769" s="76"/>
      <c r="AG769" s="60" t="str">
        <f>IFERROR(__xludf.DUMMYFUNCTION("""COMPUTED_VALUE"""),"")</f>
        <v/>
      </c>
    </row>
    <row r="770">
      <c r="A770" s="88" t="str">
        <f>IFERROR(__xludf.DUMMYFUNCTION("""COMPUTED_VALUE"""),"VIII")</f>
        <v>VIII</v>
      </c>
      <c r="B770" s="55" t="str">
        <f>IFERROR(__xludf.DUMMYFUNCTION("""COMPUTED_VALUE"""),"Virgin Group Acquisition Corp. III")</f>
        <v>Virgin Group Acquisition Corp. III</v>
      </c>
      <c r="C770" s="56" t="str">
        <f>IFERROR(__xludf.DUMMYFUNCTION("""COMPUTED_VALUE"""),"Pre IPO")</f>
        <v>Pre IPO</v>
      </c>
      <c r="D770" s="57" t="str">
        <f>IFERROR(__xludf.DUMMYFUNCTION("""COMPUTED_VALUE"""),"Consumer")</f>
        <v>Consumer</v>
      </c>
      <c r="E770" s="58"/>
      <c r="F770" s="59" t="str">
        <f>IFERROR(__xludf.DUMMYFUNCTION("""COMPUTED_VALUE"""),"Sir Richard Branson (Founder, the Virgin Group), Josh Bayliss (CEO, the Virgin Group), Evan Lovell (CIO, the Virgin Group)")</f>
        <v>Sir Richard Branson (Founder, the Virgin Group), Josh Bayliss (CEO, the Virgin Group), Evan Lovell (CIO, the Virgin Group)</v>
      </c>
      <c r="G770" s="60">
        <f>IFERROR(__xludf.DUMMYFUNCTION("""COMPUTED_VALUE"""),5.0E8)</f>
        <v>500000000</v>
      </c>
      <c r="H770" s="60" t="str">
        <f>IFERROR(__xludf.DUMMYFUNCTION("""COMPUTED_VALUE""")," ")</f>
        <v> </v>
      </c>
      <c r="I770" s="66" t="str">
        <f>IFERROR(__xludf.DUMMYFUNCTION("""COMPUTED_VALUE""")," ")</f>
        <v> </v>
      </c>
      <c r="J770" s="62" t="str">
        <f>IFERROR(__xludf.DUMMYFUNCTION("""COMPUTED_VALUE""")," ")</f>
        <v> </v>
      </c>
      <c r="K770" s="59" t="str">
        <f>IFERROR(__xludf.DUMMYFUNCTION("""COMPUTED_VALUE""")," ")</f>
        <v> </v>
      </c>
      <c r="L770" s="87" t="str">
        <f>IFERROR(__xludf.DUMMYFUNCTION("""COMPUTED_VALUE""")," ")</f>
        <v> </v>
      </c>
      <c r="M770" s="64" t="str">
        <f>IFERROR(__xludf.DUMMYFUNCTION("""COMPUTED_VALUE"""),"U: [1/5 W]; W: [1:1, $11.5]")</f>
        <v>U: [1/5 W]; W: [1:1, $11.5]</v>
      </c>
      <c r="N770" s="65" t="str">
        <f>IFERROR(__xludf.DUMMYFUNCTION("""COMPUTED_VALUE"""),"")</f>
        <v/>
      </c>
      <c r="O770" s="66">
        <f>IFERROR(__xludf.DUMMYFUNCTION("""COMPUTED_VALUE"""),0.0)</f>
        <v>0</v>
      </c>
      <c r="P770" s="67"/>
      <c r="Q770" s="68">
        <f>IFERROR(__xludf.DUMMYFUNCTION("""COMPUTED_VALUE"""),500.0)</f>
        <v>500</v>
      </c>
      <c r="R770" s="69" t="str">
        <f>IFERROR(__xludf.DUMMYFUNCTION("""COMPUTED_VALUE"""),"Credit Suisse")</f>
        <v>Credit Suisse</v>
      </c>
      <c r="S770" s="64">
        <f>IFERROR(__xludf.DUMMYFUNCTION("""COMPUTED_VALUE"""),45086.0)</f>
        <v>45086</v>
      </c>
      <c r="T770" s="70" t="str">
        <f>IFERROR(__xludf.DUMMYFUNCTION("""COMPUTED_VALUE"""),"")</f>
        <v/>
      </c>
      <c r="U770" s="71" t="str">
        <f>IFERROR(__xludf.DUMMYFUNCTION("""COMPUTED_VALUE"""),"https://www.sec.gov/cgi-bin/browse-edgar?CIK=1848004")</f>
        <v>https://www.sec.gov/cgi-bin/browse-edgar?CIK=1848004</v>
      </c>
      <c r="V770" s="72" t="str">
        <f>IFERROR(__xludf.DUMMYFUNCTION("""COMPUTED_VALUE"""),"   $500M+ Trust     Well-known Sponsor Serial Sponsor  ")</f>
        <v>   $500M+ Trust     Well-known Sponsor Serial Sponsor  </v>
      </c>
      <c r="W770" s="73"/>
      <c r="X770" s="74"/>
      <c r="Y770" s="75"/>
      <c r="Z770" s="60"/>
      <c r="AA770" s="60"/>
      <c r="AB770" s="60"/>
      <c r="AC770" s="60"/>
      <c r="AD770" s="73"/>
      <c r="AE770" s="73"/>
      <c r="AF770" s="76"/>
      <c r="AG770" s="60"/>
    </row>
    <row r="771">
      <c r="A771" s="88" t="str">
        <f>IFERROR(__xludf.DUMMYFUNCTION("""COMPUTED_VALUE"""),"VLAT")</f>
        <v>VLAT</v>
      </c>
      <c r="B771" s="55" t="str">
        <f>IFERROR(__xludf.DUMMYFUNCTION("""COMPUTED_VALUE"""),"Valor Latitude Acquisition Corp.")</f>
        <v>Valor Latitude Acquisition Corp.</v>
      </c>
      <c r="C771" s="56" t="str">
        <f>IFERROR(__xludf.DUMMYFUNCTION("""COMPUTED_VALUE"""),"Pre IPO")</f>
        <v>Pre IPO</v>
      </c>
      <c r="D771" s="77" t="str">
        <f>IFERROR(__xludf.DUMMYFUNCTION("""COMPUTED_VALUE"""),"Tech in Latin America")</f>
        <v>Tech in Latin America</v>
      </c>
      <c r="E771" s="58"/>
      <c r="F771" s="59"/>
      <c r="G771" s="60">
        <f>IFERROR(__xludf.DUMMYFUNCTION("""COMPUTED_VALUE"""),2.0E8)</f>
        <v>200000000</v>
      </c>
      <c r="H771" s="60" t="str">
        <f>IFERROR(__xludf.DUMMYFUNCTION("""COMPUTED_VALUE""")," ")</f>
        <v> </v>
      </c>
      <c r="I771" s="66" t="str">
        <f>IFERROR(__xludf.DUMMYFUNCTION("""COMPUTED_VALUE""")," ")</f>
        <v> </v>
      </c>
      <c r="J771" s="62" t="str">
        <f>IFERROR(__xludf.DUMMYFUNCTION("""COMPUTED_VALUE""")," ")</f>
        <v> </v>
      </c>
      <c r="K771" s="59" t="str">
        <f>IFERROR(__xludf.DUMMYFUNCTION("""COMPUTED_VALUE""")," ")</f>
        <v> </v>
      </c>
      <c r="L771" s="87" t="str">
        <f>IFERROR(__xludf.DUMMYFUNCTION("""COMPUTED_VALUE""")," ")</f>
        <v> </v>
      </c>
      <c r="M771" s="64" t="str">
        <f>IFERROR(__xludf.DUMMYFUNCTION("""COMPUTED_VALUE"""),"U: [1/2 W]; W: [1:1, $11.5]")</f>
        <v>U: [1/2 W]; W: [1:1, $11.5]</v>
      </c>
      <c r="N771" s="65" t="str">
        <f>IFERROR(__xludf.DUMMYFUNCTION("""COMPUTED_VALUE"""),"")</f>
        <v/>
      </c>
      <c r="O771" s="66">
        <f>IFERROR(__xludf.DUMMYFUNCTION("""COMPUTED_VALUE"""),0.0)</f>
        <v>0</v>
      </c>
      <c r="P771" s="67"/>
      <c r="Q771" s="68">
        <f>IFERROR(__xludf.DUMMYFUNCTION("""COMPUTED_VALUE"""),200.0)</f>
        <v>200</v>
      </c>
      <c r="R771" s="69" t="str">
        <f>IFERROR(__xludf.DUMMYFUNCTION("""COMPUTED_VALUE"""),"BofA Securities, Barclays")</f>
        <v>BofA Securities, Barclays</v>
      </c>
      <c r="S771" s="64">
        <f>IFERROR(__xludf.DUMMYFUNCTION("""COMPUTED_VALUE"""),45086.0)</f>
        <v>45086</v>
      </c>
      <c r="T771" s="70" t="str">
        <f>IFERROR(__xludf.DUMMYFUNCTION("""COMPUTED_VALUE"""),"")</f>
        <v/>
      </c>
      <c r="U771" s="71" t="str">
        <f>IFERROR(__xludf.DUMMYFUNCTION("""COMPUTED_VALUE"""),"https://www.sec.gov/cgi-bin/browse-edgar?CIK=1843091")</f>
        <v>https://www.sec.gov/cgi-bin/browse-edgar?CIK=1843091</v>
      </c>
      <c r="V771" s="72" t="str">
        <f>IFERROR(__xludf.DUMMYFUNCTION("""COMPUTED_VALUE"""),"           Top Tier UW ")</f>
        <v>           Top Tier UW </v>
      </c>
      <c r="W771" s="73"/>
      <c r="X771" s="74"/>
      <c r="Y771" s="75"/>
      <c r="Z771" s="60"/>
      <c r="AA771" s="60"/>
      <c r="AB771" s="60"/>
      <c r="AC771" s="60"/>
      <c r="AD771" s="73"/>
      <c r="AE771" s="73"/>
      <c r="AF771" s="76"/>
      <c r="AG771" s="60"/>
    </row>
    <row r="772">
      <c r="A772" s="54" t="str">
        <f>IFERROR(__xludf.DUMMYFUNCTION("""COMPUTED_VALUE"""),"VMAC")</f>
        <v>VMAC</v>
      </c>
      <c r="B772" s="55" t="str">
        <f>IFERROR(__xludf.DUMMYFUNCTION("""COMPUTED_VALUE"""),"Vistas Media Acquisition Company Inc.")</f>
        <v>Vistas Media Acquisition Company Inc.</v>
      </c>
      <c r="C772" s="56" t="str">
        <f>IFERROR(__xludf.DUMMYFUNCTION("""COMPUTED_VALUE"""),"Definitive Agreement")</f>
        <v>Definitive Agreement</v>
      </c>
      <c r="D772" s="57" t="str">
        <f>IFERROR(__xludf.DUMMYFUNCTION("""COMPUTED_VALUE"""),"Media, Entertainment")</f>
        <v>Media, Entertainment</v>
      </c>
      <c r="E772" s="58" t="str">
        <f>IFERROR(__xludf.DUMMYFUNCTION("""COMPUTED_VALUE"""),"Anghami [DA: 03/03/21]")</f>
        <v>Anghami [DA: 03/03/21]</v>
      </c>
      <c r="F772" s="59"/>
      <c r="G772" s="60">
        <f>IFERROR(__xludf.DUMMYFUNCTION("""COMPUTED_VALUE"""),1.0E8)</f>
        <v>100000000</v>
      </c>
      <c r="H772" s="60">
        <f>IFERROR(__xludf.DUMMYFUNCTION("""COMPUTED_VALUE"""),1.126202E8)</f>
        <v>112620200</v>
      </c>
      <c r="I772" s="66">
        <f>IFERROR(__xludf.DUMMYFUNCTION("""COMPUTED_VALUE"""),9.94)</f>
        <v>9.94</v>
      </c>
      <c r="J772" s="62">
        <f>IFERROR(__xludf.DUMMYFUNCTION("""COMPUTED_VALUE"""),-0.00101)</f>
        <v>-0.00101</v>
      </c>
      <c r="K772" s="59">
        <f>IFERROR(__xludf.DUMMYFUNCTION("""COMPUTED_VALUE"""),10.31)</f>
        <v>10.31</v>
      </c>
      <c r="L772" s="87">
        <f>IFERROR(__xludf.DUMMYFUNCTION("""COMPUTED_VALUE"""),0.6003)</f>
        <v>0.6003</v>
      </c>
      <c r="M772" s="64" t="str">
        <f>IFERROR(__xludf.DUMMYFUNCTION("""COMPUTED_VALUE"""),"U: [1 W]; W: [1:1, $11.5]")</f>
        <v>U: [1 W]; W: [1:1, $11.5]</v>
      </c>
      <c r="N772" s="65" t="str">
        <f>IFERROR(__xludf.DUMMYFUNCTION("""COMPUTED_VALUE"""),"")</f>
        <v/>
      </c>
      <c r="O772" s="66">
        <f>IFERROR(__xludf.DUMMYFUNCTION("""COMPUTED_VALUE"""),0.0)</f>
        <v>0</v>
      </c>
      <c r="P772" s="67">
        <f>IFERROR(__xludf.DUMMYFUNCTION("""COMPUTED_VALUE"""),44050.0)</f>
        <v>44050</v>
      </c>
      <c r="Q772" s="68">
        <f>IFERROR(__xludf.DUMMYFUNCTION("""COMPUTED_VALUE"""),100.0)</f>
        <v>100</v>
      </c>
      <c r="R772" s="69" t="str">
        <f>IFERROR(__xludf.DUMMYFUNCTION("""COMPUTED_VALUE"""),"I-Bankers, EarlyBirdCapital, US Tiger Securities")</f>
        <v>I-Bankers, EarlyBirdCapital, US Tiger Securities</v>
      </c>
      <c r="S772" s="64">
        <f>IFERROR(__xludf.DUMMYFUNCTION("""COMPUTED_VALUE"""),44688.75)</f>
        <v>44688.75</v>
      </c>
      <c r="T772" s="70">
        <f>IFERROR(__xludf.DUMMYFUNCTION("""COMPUTED_VALUE"""),0.38512720156555774)</f>
        <v>0.3851272016</v>
      </c>
      <c r="U772" s="71" t="str">
        <f>IFERROR(__xludf.DUMMYFUNCTION("""COMPUTED_VALUE"""),"https://www.sec.gov/cgi-bin/browse-edgar?CIK=1810491")</f>
        <v>https://www.sec.gov/cgi-bin/browse-edgar?CIK=1810491</v>
      </c>
      <c r="V772" s="72" t="str">
        <f>IFERROR(__xludf.DUMMYFUNCTION("""COMPUTED_VALUE""")," Trading Below $10 (Common)           ")</f>
        <v> Trading Below $10 (Common)           </v>
      </c>
      <c r="W772" s="73">
        <f>IFERROR(__xludf.DUMMYFUNCTION("""COMPUTED_VALUE"""),44258.0)</f>
        <v>44258</v>
      </c>
      <c r="X772" s="79">
        <f>IFERROR(__xludf.DUMMYFUNCTION("""COMPUTED_VALUE"""),6.933333333333334)</f>
        <v>6.933333333</v>
      </c>
      <c r="Y772" s="80" t="str">
        <f>IFERROR(__xludf.DUMMYFUNCTION("""COMPUTED_VALUE"""),"https://www.globenewswire.com/news-release/2021/03/03/2186096/0/en/Anghami-the-leading-music-streaming-platform-in-the-Middle-East-and-North-Africa-to-merge-with-Vistas-Media-Acquisition-Company-Inc-to-become-first-Arab-technology-company-to-list-.html")</f>
        <v>https://www.globenewswire.com/news-release/2021/03/03/2186096/0/en/Anghami-the-leading-music-streaming-platform-in-the-Middle-East-and-North-Africa-to-merge-with-Vistas-Media-Acquisition-Company-Inc-to-become-first-Arab-technology-company-to-list-.html</v>
      </c>
      <c r="Z772" s="81" t="str">
        <f>IFERROR(__xludf.DUMMYFUNCTION("""COMPUTED_VALUE"""),"https://www.sec.gov/Archives/edgar/data/1810491/000121390021013330/ea136976ex99-2_vistas.htm")</f>
        <v>https://www.sec.gov/Archives/edgar/data/1810491/000121390021013330/ea136976ex99-2_vistas.htm</v>
      </c>
      <c r="AA772" s="60">
        <f>IFERROR(__xludf.DUMMYFUNCTION("""COMPUTED_VALUE"""),1.1E8)</f>
        <v>110000000</v>
      </c>
      <c r="AB772" s="60">
        <f>IFERROR(__xludf.DUMMYFUNCTION("""COMPUTED_VALUE"""),3.62E8)</f>
        <v>362000000</v>
      </c>
      <c r="AC772" s="60">
        <f>IFERROR(__xludf.DUMMYFUNCTION("""COMPUTED_VALUE"""),2.195E9)</f>
        <v>2195000000</v>
      </c>
      <c r="AD772" s="73"/>
      <c r="AE772" s="73"/>
      <c r="AF772" s="76">
        <f>IFERROR(__xludf.DUMMYFUNCTION("""COMPUTED_VALUE"""),3.62E7)</f>
        <v>36200000</v>
      </c>
      <c r="AG772" s="60">
        <f>IFERROR(__xludf.DUMMYFUNCTION("""COMPUTED_VALUE"""),3.59828E8)</f>
        <v>359828000</v>
      </c>
    </row>
    <row r="773">
      <c r="A773" s="54" t="str">
        <f>IFERROR(__xludf.DUMMYFUNCTION("""COMPUTED_VALUE"""),"VOSO")</f>
        <v>VOSO</v>
      </c>
      <c r="B773" s="55" t="str">
        <f>IFERROR(__xludf.DUMMYFUNCTION("""COMPUTED_VALUE"""),"Virtuoso Acquisition Corp.")</f>
        <v>Virtuoso Acquisition Corp.</v>
      </c>
      <c r="C773" s="56" t="str">
        <f>IFERROR(__xludf.DUMMYFUNCTION("""COMPUTED_VALUE"""),"Searching")</f>
        <v>Searching</v>
      </c>
      <c r="D773" s="57" t="str">
        <f>IFERROR(__xludf.DUMMYFUNCTION("""COMPUTED_VALUE"""),"Media: Digital Marketing, Digital Platforms, Subscription, AdTech")</f>
        <v>Media: Digital Marketing, Digital Platforms, Subscription, AdTech</v>
      </c>
      <c r="E773" s="58"/>
      <c r="F773" s="59" t="str">
        <f>IFERROR(__xludf.DUMMYFUNCTION("""COMPUTED_VALUE"""),"Jeff Warshaw (Founder, Connoisseur Communications Partners), Alan Masarek (Fmr CEO, Vonage)")</f>
        <v>Jeff Warshaw (Founder, Connoisseur Communications Partners), Alan Masarek (Fmr CEO, Vonage)</v>
      </c>
      <c r="G773" s="60">
        <f>IFERROR(__xludf.DUMMYFUNCTION("""COMPUTED_VALUE"""),2.3E8)</f>
        <v>230000000</v>
      </c>
      <c r="H773" s="60">
        <f>IFERROR(__xludf.DUMMYFUNCTION("""COMPUTED_VALUE"""),2.2586E8)</f>
        <v>225860000</v>
      </c>
      <c r="I773" s="66">
        <f>IFERROR(__xludf.DUMMYFUNCTION("""COMPUTED_VALUE"""),9.82)</f>
        <v>9.82</v>
      </c>
      <c r="J773" s="62">
        <f>IFERROR(__xludf.DUMMYFUNCTION("""COMPUTED_VALUE"""),0.00204)</f>
        <v>0.00204</v>
      </c>
      <c r="K773" s="59">
        <f>IFERROR(__xludf.DUMMYFUNCTION("""COMPUTED_VALUE"""),10.09)</f>
        <v>10.09</v>
      </c>
      <c r="L773" s="87">
        <f>IFERROR(__xludf.DUMMYFUNCTION("""COMPUTED_VALUE"""),0.7)</f>
        <v>0.7</v>
      </c>
      <c r="M773" s="64" t="str">
        <f>IFERROR(__xludf.DUMMYFUNCTION("""COMPUTED_VALUE"""),"U: [1/2 W]; W: [1:1, $11.5]")</f>
        <v>U: [1/2 W]; W: [1:1, $11.5]</v>
      </c>
      <c r="N773" s="65">
        <f>IFERROR(__xludf.DUMMYFUNCTION("""COMPUTED_VALUE"""),44270.0)</f>
        <v>44270</v>
      </c>
      <c r="O773" s="66">
        <f>IFERROR(__xludf.DUMMYFUNCTION("""COMPUTED_VALUE"""),0.0)</f>
        <v>0</v>
      </c>
      <c r="P773" s="67">
        <f>IFERROR(__xludf.DUMMYFUNCTION("""COMPUTED_VALUE"""),44217.0)</f>
        <v>44217</v>
      </c>
      <c r="Q773" s="68">
        <f>IFERROR(__xludf.DUMMYFUNCTION("""COMPUTED_VALUE"""),230.0)</f>
        <v>230</v>
      </c>
      <c r="R773" s="69" t="str">
        <f>IFERROR(__xludf.DUMMYFUNCTION("""COMPUTED_VALUE"""),"BTIG, Moelis &amp; Company")</f>
        <v>BTIG, Moelis &amp; Company</v>
      </c>
      <c r="S773" s="64">
        <f>IFERROR(__xludf.DUMMYFUNCTION("""COMPUTED_VALUE"""),44947.0)</f>
        <v>44947</v>
      </c>
      <c r="T773" s="70">
        <f>IFERROR(__xludf.DUMMYFUNCTION("""COMPUTED_VALUE"""),0.10821917808219178)</f>
        <v>0.1082191781</v>
      </c>
      <c r="U773" s="71" t="str">
        <f>IFERROR(__xludf.DUMMYFUNCTION("""COMPUTED_VALUE"""),"https://www.sec.gov/cgi-bin/browse-edgar?CIK=1822888")</f>
        <v>https://www.sec.gov/cgi-bin/browse-edgar?CIK=1822888</v>
      </c>
      <c r="V773" s="72" t="str">
        <f>IFERROR(__xludf.DUMMYFUNCTION("""COMPUTED_VALUE""")," Trading Below $10 (Common)           ")</f>
        <v> Trading Below $10 (Common)           </v>
      </c>
      <c r="W773" s="73"/>
      <c r="X773" s="74"/>
      <c r="Y773" s="75"/>
      <c r="Z773" s="60"/>
      <c r="AA773" s="60"/>
      <c r="AB773" s="60"/>
      <c r="AC773" s="60"/>
      <c r="AD773" s="73"/>
      <c r="AE773" s="73"/>
      <c r="AF773" s="76"/>
      <c r="AG773" s="60" t="str">
        <f>IFERROR(__xludf.DUMMYFUNCTION("""COMPUTED_VALUE"""),"")</f>
        <v/>
      </c>
    </row>
    <row r="774">
      <c r="A774" s="54" t="str">
        <f>IFERROR(__xludf.DUMMYFUNCTION("""COMPUTED_VALUE"""),"VPCB")</f>
        <v>VPCB</v>
      </c>
      <c r="B774" s="55" t="str">
        <f>IFERROR(__xludf.DUMMYFUNCTION("""COMPUTED_VALUE"""),"VPC Impact Acquisition Holdings II")</f>
        <v>VPC Impact Acquisition Holdings II</v>
      </c>
      <c r="C774" s="56" t="str">
        <f>IFERROR(__xludf.DUMMYFUNCTION("""COMPUTED_VALUE"""),"Searching (Pre Unit Split)")</f>
        <v>Searching (Pre Unit Split)</v>
      </c>
      <c r="D774" s="57" t="str">
        <f>IFERROR(__xludf.DUMMYFUNCTION("""COMPUTED_VALUE"""),"Fintech, Outside of the US")</f>
        <v>Fintech, Outside of the US</v>
      </c>
      <c r="E774" s="58"/>
      <c r="F774" s="59" t="str">
        <f>IFERROR(__xludf.DUMMYFUNCTION("""COMPUTED_VALUE"""),"Senator Joe Lieberman")</f>
        <v>Senator Joe Lieberman</v>
      </c>
      <c r="G774" s="60">
        <f>IFERROR(__xludf.DUMMYFUNCTION("""COMPUTED_VALUE"""),2.25E8)</f>
        <v>225000000</v>
      </c>
      <c r="H774" s="60" t="str">
        <f>IFERROR(__xludf.DUMMYFUNCTION("""COMPUTED_VALUE""")," ")</f>
        <v> </v>
      </c>
      <c r="I774" s="66" t="str">
        <f>IFERROR(__xludf.DUMMYFUNCTION("""COMPUTED_VALUE""")," ")</f>
        <v> </v>
      </c>
      <c r="J774" s="62" t="str">
        <f>IFERROR(__xludf.DUMMYFUNCTION("""COMPUTED_VALUE""")," ")</f>
        <v> </v>
      </c>
      <c r="K774" s="59">
        <f>IFERROR(__xludf.DUMMYFUNCTION("""COMPUTED_VALUE"""),10.04)</f>
        <v>10.04</v>
      </c>
      <c r="L774" s="87" t="str">
        <f>IFERROR(__xludf.DUMMYFUNCTION("""COMPUTED_VALUE""")," ")</f>
        <v> </v>
      </c>
      <c r="M774" s="64" t="str">
        <f>IFERROR(__xludf.DUMMYFUNCTION("""COMPUTED_VALUE"""),"U: [1/4 W]; W: [1:1, $11.5]")</f>
        <v>U: [1/4 W]; W: [1:1, $11.5]</v>
      </c>
      <c r="N774" s="65">
        <f>IFERROR(__xludf.DUMMYFUNCTION("""COMPUTED_VALUE"""),44311.0)</f>
        <v>44311</v>
      </c>
      <c r="O774" s="66" t="str">
        <f>IFERROR(__xludf.DUMMYFUNCTION("""COMPUTED_VALUE"""),"")</f>
        <v/>
      </c>
      <c r="P774" s="67">
        <f>IFERROR(__xludf.DUMMYFUNCTION("""COMPUTED_VALUE"""),44259.0)</f>
        <v>44259</v>
      </c>
      <c r="Q774" s="68">
        <f>IFERROR(__xludf.DUMMYFUNCTION("""COMPUTED_VALUE"""),225.0)</f>
        <v>225</v>
      </c>
      <c r="R774" s="69" t="str">
        <f>IFERROR(__xludf.DUMMYFUNCTION("""COMPUTED_VALUE"""),"Citigroup, Jefferies")</f>
        <v>Citigroup, Jefferies</v>
      </c>
      <c r="S774" s="64">
        <f>IFERROR(__xludf.DUMMYFUNCTION("""COMPUTED_VALUE"""),44989.0)</f>
        <v>44989</v>
      </c>
      <c r="T774" s="70">
        <f>IFERROR(__xludf.DUMMYFUNCTION("""COMPUTED_VALUE"""),0.050684931506849315)</f>
        <v>0.05068493151</v>
      </c>
      <c r="U774" s="71" t="str">
        <f>IFERROR(__xludf.DUMMYFUNCTION("""COMPUTED_VALUE"""),"https://www.sec.gov/cgi-bin/browse-edgar?CIK=1840792")</f>
        <v>https://www.sec.gov/cgi-bin/browse-edgar?CIK=1840792</v>
      </c>
      <c r="V774" s="72" t="str">
        <f>IFERROR(__xludf.DUMMYFUNCTION("""COMPUTED_VALUE"""),"          Serial Sponsor Top Tier UW ")</f>
        <v>          Serial Sponsor Top Tier UW </v>
      </c>
      <c r="W774" s="73"/>
      <c r="X774" s="74"/>
      <c r="Y774" s="75"/>
      <c r="Z774" s="60"/>
      <c r="AA774" s="60"/>
      <c r="AB774" s="60"/>
      <c r="AC774" s="60"/>
      <c r="AD774" s="73"/>
      <c r="AE774" s="73"/>
      <c r="AF774" s="76"/>
      <c r="AG774" s="60" t="str">
        <f>IFERROR(__xludf.DUMMYFUNCTION("""COMPUTED_VALUE"""),"")</f>
        <v/>
      </c>
    </row>
    <row r="775">
      <c r="A775" s="54" t="str">
        <f>IFERROR(__xludf.DUMMYFUNCTION("""COMPUTED_VALUE"""),"VPCC")</f>
        <v>VPCC</v>
      </c>
      <c r="B775" s="55" t="str">
        <f>IFERROR(__xludf.DUMMYFUNCTION("""COMPUTED_VALUE"""),"VPC Impact Acquisition Holdings III, Inc.")</f>
        <v>VPC Impact Acquisition Holdings III, Inc.</v>
      </c>
      <c r="C775" s="56" t="str">
        <f>IFERROR(__xludf.DUMMYFUNCTION("""COMPUTED_VALUE"""),"Searching (Pre Unit Split)")</f>
        <v>Searching (Pre Unit Split)</v>
      </c>
      <c r="D775" s="57" t="str">
        <f>IFERROR(__xludf.DUMMYFUNCTION("""COMPUTED_VALUE"""),"Fintech (US)")</f>
        <v>Fintech (US)</v>
      </c>
      <c r="E775" s="58"/>
      <c r="F775" s="59"/>
      <c r="G775" s="60">
        <f>IFERROR(__xludf.DUMMYFUNCTION("""COMPUTED_VALUE"""),2.5376598E8)</f>
        <v>253765980</v>
      </c>
      <c r="H775" s="60" t="str">
        <f>IFERROR(__xludf.DUMMYFUNCTION("""COMPUTED_VALUE""")," ")</f>
        <v> </v>
      </c>
      <c r="I775" s="66" t="str">
        <f>IFERROR(__xludf.DUMMYFUNCTION("""COMPUTED_VALUE""")," ")</f>
        <v> </v>
      </c>
      <c r="J775" s="62" t="str">
        <f>IFERROR(__xludf.DUMMYFUNCTION("""COMPUTED_VALUE""")," ")</f>
        <v> </v>
      </c>
      <c r="K775" s="59">
        <f>IFERROR(__xludf.DUMMYFUNCTION("""COMPUTED_VALUE"""),10.05)</f>
        <v>10.05</v>
      </c>
      <c r="L775" s="87" t="str">
        <f>IFERROR(__xludf.DUMMYFUNCTION("""COMPUTED_VALUE""")," ")</f>
        <v> </v>
      </c>
      <c r="M775" s="64" t="str">
        <f>IFERROR(__xludf.DUMMYFUNCTION("""COMPUTED_VALUE"""),"U: [1/4 W]; W: [1:1, $11.5]")</f>
        <v>U: [1/4 W]; W: [1:1, $11.5]</v>
      </c>
      <c r="N775" s="65">
        <f>IFERROR(__xludf.DUMMYFUNCTION("""COMPUTED_VALUE"""),44311.0)</f>
        <v>44311</v>
      </c>
      <c r="O775" s="66" t="str">
        <f>IFERROR(__xludf.DUMMYFUNCTION("""COMPUTED_VALUE"""),"")</f>
        <v/>
      </c>
      <c r="P775" s="67">
        <f>IFERROR(__xludf.DUMMYFUNCTION("""COMPUTED_VALUE"""),44259.0)</f>
        <v>44259</v>
      </c>
      <c r="Q775" s="68">
        <f>IFERROR(__xludf.DUMMYFUNCTION("""COMPUTED_VALUE"""),253.76598)</f>
        <v>253.76598</v>
      </c>
      <c r="R775" s="69" t="str">
        <f>IFERROR(__xludf.DUMMYFUNCTION("""COMPUTED_VALUE"""),"Citigroup, Jefferies")</f>
        <v>Citigroup, Jefferies</v>
      </c>
      <c r="S775" s="64">
        <f>IFERROR(__xludf.DUMMYFUNCTION("""COMPUTED_VALUE"""),44989.0)</f>
        <v>44989</v>
      </c>
      <c r="T775" s="70">
        <f>IFERROR(__xludf.DUMMYFUNCTION("""COMPUTED_VALUE"""),0.050684931506849315)</f>
        <v>0.05068493151</v>
      </c>
      <c r="U775" s="71" t="str">
        <f>IFERROR(__xludf.DUMMYFUNCTION("""COMPUTED_VALUE"""),"https://www.sec.gov/cgi-bin/browse-edgar?CIK=1841408")</f>
        <v>https://www.sec.gov/cgi-bin/browse-edgar?CIK=1841408</v>
      </c>
      <c r="V775" s="72" t="str">
        <f>IFERROR(__xludf.DUMMYFUNCTION("""COMPUTED_VALUE"""),"          Serial Sponsor Top Tier UW ")</f>
        <v>          Serial Sponsor Top Tier UW </v>
      </c>
      <c r="W775" s="73"/>
      <c r="X775" s="74"/>
      <c r="Y775" s="75"/>
      <c r="Z775" s="60"/>
      <c r="AA775" s="60"/>
      <c r="AB775" s="60"/>
      <c r="AC775" s="60"/>
      <c r="AD775" s="73"/>
      <c r="AE775" s="73"/>
      <c r="AF775" s="76"/>
      <c r="AG775" s="60" t="str">
        <f>IFERROR(__xludf.DUMMYFUNCTION("""COMPUTED_VALUE"""),"")</f>
        <v/>
      </c>
    </row>
    <row r="776">
      <c r="A776" s="54" t="str">
        <f>IFERROR(__xludf.DUMMYFUNCTION("""COMPUTED_VALUE"""),"VSPR")</f>
        <v>VSPR</v>
      </c>
      <c r="B776" s="55" t="str">
        <f>IFERROR(__xludf.DUMMYFUNCTION("""COMPUTED_VALUE"""),"Vesper Healthcare Acquisition Corp.")</f>
        <v>Vesper Healthcare Acquisition Corp.</v>
      </c>
      <c r="C776" s="56" t="str">
        <f>IFERROR(__xludf.DUMMYFUNCTION("""COMPUTED_VALUE"""),"Definitive Agreement")</f>
        <v>Definitive Agreement</v>
      </c>
      <c r="D776" s="57" t="str">
        <f>IFERROR(__xludf.DUMMYFUNCTION("""COMPUTED_VALUE"""),"Pharmaceuticals, Healthcare")</f>
        <v>Pharmaceuticals, Healthcare</v>
      </c>
      <c r="E776" s="58" t="str">
        <f>IFERROR(__xludf.DUMMYFUNCTION("""COMPUTED_VALUE"""),"HydraFacial [DA: 12/09/20]")</f>
        <v>HydraFacial [DA: 12/09/20]</v>
      </c>
      <c r="F776" s="59" t="str">
        <f>IFERROR(__xludf.DUMMYFUNCTION("""COMPUTED_VALUE"""),"Brenton Saunders (Fmr CEO, Allergan; Fmr CEO, Bausch + Lomb), Michael Capellas (Fmr CEO, First Data; Fmr CEO, Compaq; Board Director, Cisco), Barry Sternlicht (CEO, Starwood Capital)")</f>
        <v>Brenton Saunders (Fmr CEO, Allergan; Fmr CEO, Bausch + Lomb), Michael Capellas (Fmr CEO, First Data; Fmr CEO, Compaq; Board Director, Cisco), Barry Sternlicht (CEO, Starwood Capital)</v>
      </c>
      <c r="G776" s="60">
        <f>IFERROR(__xludf.DUMMYFUNCTION("""COMPUTED_VALUE"""),4.6E8)</f>
        <v>460000000</v>
      </c>
      <c r="H776" s="60">
        <f>IFERROR(__xludf.DUMMYFUNCTION("""COMPUTED_VALUE"""),4.876E8)</f>
        <v>487600000</v>
      </c>
      <c r="I776" s="66">
        <f>IFERROR(__xludf.DUMMYFUNCTION("""COMPUTED_VALUE"""),10.6)</f>
        <v>10.6</v>
      </c>
      <c r="J776" s="62">
        <f>IFERROR(__xludf.DUMMYFUNCTION("""COMPUTED_VALUE"""),-0.01943)</f>
        <v>-0.01943</v>
      </c>
      <c r="K776" s="59">
        <f>IFERROR(__xludf.DUMMYFUNCTION("""COMPUTED_VALUE"""),11.72)</f>
        <v>11.72</v>
      </c>
      <c r="L776" s="87">
        <f>IFERROR(__xludf.DUMMYFUNCTION("""COMPUTED_VALUE"""),2.585)</f>
        <v>2.585</v>
      </c>
      <c r="M776" s="64" t="str">
        <f>IFERROR(__xludf.DUMMYFUNCTION("""COMPUTED_VALUE"""),"U: [1/3 W]; W: [1:1, $11.5]")</f>
        <v>U: [1/3 W]; W: [1:1, $11.5]</v>
      </c>
      <c r="N776" s="65" t="str">
        <f>IFERROR(__xludf.DUMMYFUNCTION("""COMPUTED_VALUE"""),"")</f>
        <v/>
      </c>
      <c r="O776" s="66">
        <f>IFERROR(__xludf.DUMMYFUNCTION("""COMPUTED_VALUE"""),0.0)</f>
        <v>0</v>
      </c>
      <c r="P776" s="67">
        <f>IFERROR(__xludf.DUMMYFUNCTION("""COMPUTED_VALUE"""),44103.0)</f>
        <v>44103</v>
      </c>
      <c r="Q776" s="68">
        <f>IFERROR(__xludf.DUMMYFUNCTION("""COMPUTED_VALUE"""),460.0)</f>
        <v>460</v>
      </c>
      <c r="R776" s="69" t="str">
        <f>IFERROR(__xludf.DUMMYFUNCTION("""COMPUTED_VALUE"""),"Goldman Sachs, JP Morgan")</f>
        <v>Goldman Sachs, JP Morgan</v>
      </c>
      <c r="S776" s="64">
        <f>IFERROR(__xludf.DUMMYFUNCTION("""COMPUTED_VALUE"""),44833.0)</f>
        <v>44833</v>
      </c>
      <c r="T776" s="70">
        <f>IFERROR(__xludf.DUMMYFUNCTION("""COMPUTED_VALUE"""),0.26438356164383564)</f>
        <v>0.2643835616</v>
      </c>
      <c r="U776" s="71" t="str">
        <f>IFERROR(__xludf.DUMMYFUNCTION("""COMPUTED_VALUE"""),"https://www.sec.gov/cgi-bin/browse-edgar?CIK=1818093")</f>
        <v>https://www.sec.gov/cgi-bin/browse-edgar?CIK=1818093</v>
      </c>
      <c r="V776" s="72" t="str">
        <f>IFERROR(__xludf.DUMMYFUNCTION("""COMPUTED_VALUE"""),"     Optionable    Well-known Sponsor  Top Tier UW ")</f>
        <v>     Optionable    Well-known Sponsor  Top Tier UW </v>
      </c>
      <c r="W776" s="73">
        <f>IFERROR(__xludf.DUMMYFUNCTION("""COMPUTED_VALUE"""),44174.0)</f>
        <v>44174</v>
      </c>
      <c r="X776" s="79">
        <f>IFERROR(__xludf.DUMMYFUNCTION("""COMPUTED_VALUE"""),2.3666666666666667)</f>
        <v>2.366666667</v>
      </c>
      <c r="Y776" s="80" t="str">
        <f>IFERROR(__xludf.DUMMYFUNCTION("""COMPUTED_VALUE"""),"https://www.businesswire.com/news/home/20201209005485/en/HydraFacial-an-Experiential-Beauty-Health-Company-and-Vesper-Healthcare-Announce-Business-Combination")</f>
        <v>https://www.businesswire.com/news/home/20201209005485/en/HydraFacial-an-Experiential-Beauty-Health-Company-and-Vesper-Healthcare-Announce-Business-Combination</v>
      </c>
      <c r="Z776" s="81" t="str">
        <f>IFERROR(__xludf.DUMMYFUNCTION("""COMPUTED_VALUE"""),"https://www.sec.gov/Archives/edgar/data/1818093/000121390020041690/ea131234ex99-2_vesperhealth.htm")</f>
        <v>https://www.sec.gov/Archives/edgar/data/1818093/000121390020041690/ea131234ex99-2_vesperhealth.htm</v>
      </c>
      <c r="AA776" s="60">
        <f>IFERROR(__xludf.DUMMYFUNCTION("""COMPUTED_VALUE"""),3.5E9)</f>
        <v>3500000000</v>
      </c>
      <c r="AB776" s="60">
        <f>IFERROR(__xludf.DUMMYFUNCTION("""COMPUTED_VALUE"""),1.24E9)</f>
        <v>1240000000</v>
      </c>
      <c r="AC776" s="60">
        <f>IFERROR(__xludf.DUMMYFUNCTION("""COMPUTED_VALUE"""),1.14E9)</f>
        <v>1140000000</v>
      </c>
      <c r="AD776" s="73">
        <f>IFERROR(__xludf.DUMMYFUNCTION("""COMPUTED_VALUE"""),44315.0)</f>
        <v>44315</v>
      </c>
      <c r="AE776" s="73"/>
      <c r="AF776" s="76">
        <f>IFERROR(__xludf.DUMMYFUNCTION("""COMPUTED_VALUE"""),1.24E8)</f>
        <v>124000000</v>
      </c>
      <c r="AG776" s="60">
        <f>IFERROR(__xludf.DUMMYFUNCTION("""COMPUTED_VALUE"""),1.3144E9)</f>
        <v>1314400000</v>
      </c>
    </row>
    <row r="777">
      <c r="A777" s="54" t="str">
        <f>IFERROR(__xludf.DUMMYFUNCTION("""COMPUTED_VALUE"""),"VTAQ")</f>
        <v>VTAQ</v>
      </c>
      <c r="B777" s="55" t="str">
        <f>IFERROR(__xludf.DUMMYFUNCTION("""COMPUTED_VALUE"""),"Ventoux CCM Acquisition Corp")</f>
        <v>Ventoux CCM Acquisition Corp</v>
      </c>
      <c r="C777" s="56" t="str">
        <f>IFERROR(__xludf.DUMMYFUNCTION("""COMPUTED_VALUE"""),"Searching")</f>
        <v>Searching</v>
      </c>
      <c r="D777" s="57" t="str">
        <f>IFERROR(__xludf.DUMMYFUNCTION("""COMPUTED_VALUE"""),"Hospitality, Leisure, Travel and Dining (emphasis on Consumer Branded)")</f>
        <v>Hospitality, Leisure, Travel and Dining (emphasis on Consumer Branded)</v>
      </c>
      <c r="E777" s="58"/>
      <c r="F777" s="59" t="str">
        <f>IFERROR(__xludf.DUMMYFUNCTION("""COMPUTED_VALUE"""),"Edward Scheetz (Fmr CEO, Chelsea Hotels), Woody Wilson (Director, DraftKings")</f>
        <v>Edward Scheetz (Fmr CEO, Chelsea Hotels), Woody Wilson (Director, DraftKings</v>
      </c>
      <c r="G777" s="60">
        <f>IFERROR(__xludf.DUMMYFUNCTION("""COMPUTED_VALUE"""),1.515E8)</f>
        <v>151500000</v>
      </c>
      <c r="H777" s="60">
        <f>IFERROR(__xludf.DUMMYFUNCTION("""COMPUTED_VALUE"""),2.15409375E8)</f>
        <v>215409375</v>
      </c>
      <c r="I777" s="66">
        <f>IFERROR(__xludf.DUMMYFUNCTION("""COMPUTED_VALUE"""),9.99)</f>
        <v>9.99</v>
      </c>
      <c r="J777" s="62"/>
      <c r="K777" s="59">
        <f>IFERROR(__xludf.DUMMYFUNCTION("""COMPUTED_VALUE"""),10.6293)</f>
        <v>10.6293</v>
      </c>
      <c r="L777" s="87">
        <f>IFERROR(__xludf.DUMMYFUNCTION("""COMPUTED_VALUE"""),0.52)</f>
        <v>0.52</v>
      </c>
      <c r="M777" s="64" t="str">
        <f>IFERROR(__xludf.DUMMYFUNCTION("""COMPUTED_VALUE"""),"U: [1 W, 1 R (1/20 sh)]; W: [2:1, $11.5]")</f>
        <v>U: [1 W, 1 R (1/20 sh)]; W: [2:1, $11.5]</v>
      </c>
      <c r="N777" s="65" t="str">
        <f>IFERROR(__xludf.DUMMYFUNCTION("""COMPUTED_VALUE"""),"")</f>
        <v/>
      </c>
      <c r="O777" s="66">
        <f>IFERROR(__xludf.DUMMYFUNCTION("""COMPUTED_VALUE"""),0.0)</f>
        <v>0</v>
      </c>
      <c r="P777" s="67">
        <f>IFERROR(__xludf.DUMMYFUNCTION("""COMPUTED_VALUE"""),44188.0)</f>
        <v>44188</v>
      </c>
      <c r="Q777" s="68">
        <f>IFERROR(__xludf.DUMMYFUNCTION("""COMPUTED_VALUE"""),151.5)</f>
        <v>151.5</v>
      </c>
      <c r="R777" s="69" t="str">
        <f>IFERROR(__xludf.DUMMYFUNCTION("""COMPUTED_VALUE"""),"Chardan")</f>
        <v>Chardan</v>
      </c>
      <c r="S777" s="64">
        <f>IFERROR(__xludf.DUMMYFUNCTION("""COMPUTED_VALUE"""),44644.25)</f>
        <v>44644.25</v>
      </c>
      <c r="T777" s="70">
        <f>IFERROR(__xludf.DUMMYFUNCTION("""COMPUTED_VALUE"""),0.23671232876712328)</f>
        <v>0.2367123288</v>
      </c>
      <c r="U777" s="71" t="str">
        <f>IFERROR(__xludf.DUMMYFUNCTION("""COMPUTED_VALUE"""),"https://www.sec.gov/cgi-bin/browse-edgar?CIK=1822145")</f>
        <v>https://www.sec.gov/cgi-bin/browse-edgar?CIK=1822145</v>
      </c>
      <c r="V777" s="72" t="str">
        <f>IFERROR(__xludf.DUMMYFUNCTION("""COMPUTED_VALUE""")," Trading Below $10 (Common)      Has Rights     ")</f>
        <v> Trading Below $10 (Common)      Has Rights     </v>
      </c>
      <c r="W777" s="73"/>
      <c r="X777" s="74"/>
      <c r="Y777" s="75"/>
      <c r="Z777" s="60"/>
      <c r="AA777" s="60"/>
      <c r="AB777" s="60"/>
      <c r="AC777" s="60"/>
      <c r="AD777" s="73"/>
      <c r="AE777" s="73"/>
      <c r="AF777" s="76"/>
      <c r="AG777" s="60" t="str">
        <f>IFERROR(__xludf.DUMMYFUNCTION("""COMPUTED_VALUE"""),"")</f>
        <v/>
      </c>
    </row>
    <row r="778">
      <c r="A778" s="54" t="str">
        <f>IFERROR(__xludf.DUMMYFUNCTION("""COMPUTED_VALUE"""),"VTIQ")</f>
        <v>VTIQ</v>
      </c>
      <c r="B778" s="55" t="str">
        <f>IFERROR(__xludf.DUMMYFUNCTION("""COMPUTED_VALUE"""),"VectoIQ Acquisition Corp. II")</f>
        <v>VectoIQ Acquisition Corp. II</v>
      </c>
      <c r="C778" s="56" t="str">
        <f>IFERROR(__xludf.DUMMYFUNCTION("""COMPUTED_VALUE"""),"Searching")</f>
        <v>Searching</v>
      </c>
      <c r="D778" s="57" t="str">
        <f>IFERROR(__xludf.DUMMYFUNCTION("""COMPUTED_VALUE"""),"Industrial Tech, Transportation, Smart Mobility")</f>
        <v>Industrial Tech, Transportation, Smart Mobility</v>
      </c>
      <c r="E778" s="58"/>
      <c r="F778" s="59" t="str">
        <f>IFERROR(__xludf.DUMMYFUNCTION("""COMPUTED_VALUE"""),"Stephen Girsky (MP, VectoIQ; Chairman, Nikola; Fmr Vice Chairman, General Motors); Daniel Akerson (Fmr Chairman/CEO, General Motors; Fmr Vice Chairman, Carlyle Group); Stefan Jacoby (Fmr CEO, Volvo; Fmr Exec VP, General Motors")</f>
        <v>Stephen Girsky (MP, VectoIQ; Chairman, Nikola; Fmr Vice Chairman, General Motors); Daniel Akerson (Fmr Chairman/CEO, General Motors; Fmr Vice Chairman, Carlyle Group); Stefan Jacoby (Fmr CEO, Volvo; Fmr Exec VP, General Motors</v>
      </c>
      <c r="G778" s="60">
        <f>IFERROR(__xludf.DUMMYFUNCTION("""COMPUTED_VALUE"""),3.45E8)</f>
        <v>345000000</v>
      </c>
      <c r="H778" s="60">
        <f>IFERROR(__xludf.DUMMYFUNCTION("""COMPUTED_VALUE"""),3.46725E8)</f>
        <v>346725000</v>
      </c>
      <c r="I778" s="66">
        <f>IFERROR(__xludf.DUMMYFUNCTION("""COMPUTED_VALUE"""),10.05)</f>
        <v>10.05</v>
      </c>
      <c r="J778" s="62">
        <f>IFERROR(__xludf.DUMMYFUNCTION("""COMPUTED_VALUE"""),0.005)</f>
        <v>0.005</v>
      </c>
      <c r="K778" s="59">
        <f>IFERROR(__xludf.DUMMYFUNCTION("""COMPUTED_VALUE"""),10.3)</f>
        <v>10.3</v>
      </c>
      <c r="L778" s="87">
        <f>IFERROR(__xludf.DUMMYFUNCTION("""COMPUTED_VALUE"""),1.58)</f>
        <v>1.58</v>
      </c>
      <c r="M778" s="64" t="str">
        <f>IFERROR(__xludf.DUMMYFUNCTION("""COMPUTED_VALUE"""),"U: [1/5 W]; W: [1:1, $11.5]")</f>
        <v>U: [1/5 W]; W: [1:1, $11.5]</v>
      </c>
      <c r="N778" s="65" t="str">
        <f>IFERROR(__xludf.DUMMYFUNCTION("""COMPUTED_VALUE"""),"")</f>
        <v/>
      </c>
      <c r="O778" s="66">
        <f>IFERROR(__xludf.DUMMYFUNCTION("""COMPUTED_VALUE"""),0.0)</f>
        <v>0</v>
      </c>
      <c r="P778" s="67">
        <f>IFERROR(__xludf.DUMMYFUNCTION("""COMPUTED_VALUE"""),44202.0)</f>
        <v>44202</v>
      </c>
      <c r="Q778" s="68">
        <f>IFERROR(__xludf.DUMMYFUNCTION("""COMPUTED_VALUE"""),345.0)</f>
        <v>345</v>
      </c>
      <c r="R778" s="69" t="str">
        <f>IFERROR(__xludf.DUMMYFUNCTION("""COMPUTED_VALUE"""),"Cowen, Morgan Stanley")</f>
        <v>Cowen, Morgan Stanley</v>
      </c>
      <c r="S778" s="64">
        <f>IFERROR(__xludf.DUMMYFUNCTION("""COMPUTED_VALUE"""),44932.0)</f>
        <v>44932</v>
      </c>
      <c r="T778" s="70">
        <f>IFERROR(__xludf.DUMMYFUNCTION("""COMPUTED_VALUE"""),0.12876712328767123)</f>
        <v>0.1287671233</v>
      </c>
      <c r="U778" s="71" t="str">
        <f>IFERROR(__xludf.DUMMYFUNCTION("""COMPUTED_VALUE"""),"https://www.sec.gov/cgi-bin/browse-edgar?CIK=1823884")</f>
        <v>https://www.sec.gov/cgi-bin/browse-edgar?CIK=1823884</v>
      </c>
      <c r="V778" s="72" t="str">
        <f>IFERROR(__xludf.DUMMYFUNCTION("""COMPUTED_VALUE"""),"         Well-known Sponsor  Top Tier UW ")</f>
        <v>         Well-known Sponsor  Top Tier UW </v>
      </c>
      <c r="W778" s="73"/>
      <c r="X778" s="74"/>
      <c r="Y778" s="75"/>
      <c r="Z778" s="60"/>
      <c r="AA778" s="60"/>
      <c r="AB778" s="60"/>
      <c r="AC778" s="60"/>
      <c r="AD778" s="73"/>
      <c r="AE778" s="73"/>
      <c r="AF778" s="76"/>
      <c r="AG778" s="60" t="str">
        <f>IFERROR(__xludf.DUMMYFUNCTION("""COMPUTED_VALUE"""),"")</f>
        <v/>
      </c>
    </row>
    <row r="779">
      <c r="A779" s="54" t="str">
        <f>IFERROR(__xludf.DUMMYFUNCTION("""COMPUTED_VALUE"""),"VYGG")</f>
        <v>VYGG</v>
      </c>
      <c r="B779" s="55" t="str">
        <f>IFERROR(__xludf.DUMMYFUNCTION("""COMPUTED_VALUE"""),"Vy Global Growth")</f>
        <v>Vy Global Growth</v>
      </c>
      <c r="C779" s="56" t="str">
        <f>IFERROR(__xludf.DUMMYFUNCTION("""COMPUTED_VALUE"""),"Searching")</f>
        <v>Searching</v>
      </c>
      <c r="D779" s="57" t="str">
        <f>IFERROR(__xludf.DUMMYFUNCTION("""COMPUTED_VALUE"""),"Tech")</f>
        <v>Tech</v>
      </c>
      <c r="E779" s="58"/>
      <c r="F779" s="59" t="str">
        <f>IFERROR(__xludf.DUMMYFUNCTION("""COMPUTED_VALUE"""),"John Hering (Co-founder, Lookout), Alexander Tamas (Founder, Vy Capital), Steve Huffman (Co-Founder/CEO, Reddit), Justin Kan (Co-founder, Twitch)")</f>
        <v>John Hering (Co-founder, Lookout), Alexander Tamas (Founder, Vy Capital), Steve Huffman (Co-Founder/CEO, Reddit), Justin Kan (Co-founder, Twitch)</v>
      </c>
      <c r="G779" s="60">
        <f>IFERROR(__xludf.DUMMYFUNCTION("""COMPUTED_VALUE"""),5.75112065E8)</f>
        <v>575112065</v>
      </c>
      <c r="H779" s="60">
        <f>IFERROR(__xludf.DUMMYFUNCTION("""COMPUTED_VALUE"""),4.79437199E8)</f>
        <v>479437199</v>
      </c>
      <c r="I779" s="66">
        <f>IFERROR(__xludf.DUMMYFUNCTION("""COMPUTED_VALUE"""),10.2)</f>
        <v>10.2</v>
      </c>
      <c r="J779" s="62">
        <f>IFERROR(__xludf.DUMMYFUNCTION("""COMPUTED_VALUE"""),-0.00293)</f>
        <v>-0.00293</v>
      </c>
      <c r="K779" s="59">
        <f>IFERROR(__xludf.DUMMYFUNCTION("""COMPUTED_VALUE"""),10.63)</f>
        <v>10.63</v>
      </c>
      <c r="L779" s="87">
        <f>IFERROR(__xludf.DUMMYFUNCTION("""COMPUTED_VALUE"""),2.1)</f>
        <v>2.1</v>
      </c>
      <c r="M779" s="64" t="str">
        <f>IFERROR(__xludf.DUMMYFUNCTION("""COMPUTED_VALUE"""),"U: [1/4 W]; W: [1:1, $11.5]")</f>
        <v>U: [1/4 W]; W: [1:1, $11.5]</v>
      </c>
      <c r="N779" s="65" t="str">
        <f>IFERROR(__xludf.DUMMYFUNCTION("""COMPUTED_VALUE"""),"")</f>
        <v/>
      </c>
      <c r="O779" s="66">
        <f>IFERROR(__xludf.DUMMYFUNCTION("""COMPUTED_VALUE"""),0.0)</f>
        <v>0</v>
      </c>
      <c r="P779" s="67">
        <f>IFERROR(__xludf.DUMMYFUNCTION("""COMPUTED_VALUE"""),44106.0)</f>
        <v>44106</v>
      </c>
      <c r="Q779" s="68">
        <f>IFERROR(__xludf.DUMMYFUNCTION("""COMPUTED_VALUE"""),575.0)</f>
        <v>575</v>
      </c>
      <c r="R779" s="69" t="str">
        <f>IFERROR(__xludf.DUMMYFUNCTION("""COMPUTED_VALUE"""),"Morgan Stanley, Deutsche Bank")</f>
        <v>Morgan Stanley, Deutsche Bank</v>
      </c>
      <c r="S779" s="64">
        <f>IFERROR(__xludf.DUMMYFUNCTION("""COMPUTED_VALUE"""),44836.0)</f>
        <v>44836</v>
      </c>
      <c r="T779" s="70">
        <f>IFERROR(__xludf.DUMMYFUNCTION("""COMPUTED_VALUE"""),0.2602739726027397)</f>
        <v>0.2602739726</v>
      </c>
      <c r="U779" s="71" t="str">
        <f>IFERROR(__xludf.DUMMYFUNCTION("""COMPUTED_VALUE"""),"https://www.sec.gov/cgi-bin/browse-edgar?CIK=1822877")</f>
        <v>https://www.sec.gov/cgi-bin/browse-edgar?CIK=1822877</v>
      </c>
      <c r="V779" s="72" t="str">
        <f>IFERROR(__xludf.DUMMYFUNCTION("""COMPUTED_VALUE"""),"Venture Capital   $500M+ Trust       Top Tier UW ")</f>
        <v>Venture Capital   $500M+ Trust       Top Tier UW </v>
      </c>
      <c r="W779" s="73"/>
      <c r="X779" s="74"/>
      <c r="Y779" s="75"/>
      <c r="Z779" s="60"/>
      <c r="AA779" s="60"/>
      <c r="AB779" s="60"/>
      <c r="AC779" s="60"/>
      <c r="AD779" s="73"/>
      <c r="AE779" s="73"/>
      <c r="AF779" s="76"/>
      <c r="AG779" s="60" t="str">
        <f>IFERROR(__xludf.DUMMYFUNCTION("""COMPUTED_VALUE"""),"")</f>
        <v/>
      </c>
    </row>
    <row r="780">
      <c r="A780" s="88" t="str">
        <f>IFERROR(__xludf.DUMMYFUNCTION("""COMPUTED_VALUE"""),"WALD")</f>
        <v>WALD</v>
      </c>
      <c r="B780" s="55" t="str">
        <f>IFERROR(__xludf.DUMMYFUNCTION("""COMPUTED_VALUE"""),"Waldencast Acquisition Corp.")</f>
        <v>Waldencast Acquisition Corp.</v>
      </c>
      <c r="C780" s="56" t="str">
        <f>IFERROR(__xludf.DUMMYFUNCTION("""COMPUTED_VALUE"""),"Searching (Pre Unit Split)")</f>
        <v>Searching (Pre Unit Split)</v>
      </c>
      <c r="D780" s="77" t="str">
        <f>IFERROR(__xludf.DUMMYFUNCTION("""COMPUTED_VALUE"""),"Beauty, Personal Care, Wellness")</f>
        <v>Beauty, Personal Care, Wellness</v>
      </c>
      <c r="E780" s="58"/>
      <c r="F780" s="59" t="str">
        <f>IFERROR(__xludf.DUMMYFUNCTION("""COMPUTED_VALUE"""),"Felipe Dutra (Former CFO of Anheuser-Busch InBev)")</f>
        <v>Felipe Dutra (Former CFO of Anheuser-Busch InBev)</v>
      </c>
      <c r="G780" s="60">
        <f>IFERROR(__xludf.DUMMYFUNCTION("""COMPUTED_VALUE"""),3.45E8)</f>
        <v>345000000</v>
      </c>
      <c r="H780" s="60" t="str">
        <f>IFERROR(__xludf.DUMMYFUNCTION("""COMPUTED_VALUE""")," ")</f>
        <v> </v>
      </c>
      <c r="I780" s="66" t="str">
        <f>IFERROR(__xludf.DUMMYFUNCTION("""COMPUTED_VALUE""")," ")</f>
        <v> </v>
      </c>
      <c r="J780" s="62" t="str">
        <f>IFERROR(__xludf.DUMMYFUNCTION("""COMPUTED_VALUE""")," ")</f>
        <v> </v>
      </c>
      <c r="K780" s="59">
        <f>IFERROR(__xludf.DUMMYFUNCTION("""COMPUTED_VALUE"""),10.1)</f>
        <v>10.1</v>
      </c>
      <c r="L780" s="87" t="str">
        <f>IFERROR(__xludf.DUMMYFUNCTION("""COMPUTED_VALUE""")," ")</f>
        <v> </v>
      </c>
      <c r="M780" s="64" t="str">
        <f>IFERROR(__xludf.DUMMYFUNCTION("""COMPUTED_VALUE"""),"U: [1/3 W]; W: [1:1, $11.5]")</f>
        <v>U: [1/3 W]; W: [1:1, $11.5]</v>
      </c>
      <c r="N780" s="65">
        <f>IFERROR(__xludf.DUMMYFUNCTION("""COMPUTED_VALUE"""),44322.0)</f>
        <v>44322</v>
      </c>
      <c r="O780" s="66">
        <f>IFERROR(__xludf.DUMMYFUNCTION("""COMPUTED_VALUE"""),0.0)</f>
        <v>0</v>
      </c>
      <c r="P780" s="67">
        <f>IFERROR(__xludf.DUMMYFUNCTION("""COMPUTED_VALUE"""),44270.0)</f>
        <v>44270</v>
      </c>
      <c r="Q780" s="68">
        <f>IFERROR(__xludf.DUMMYFUNCTION("""COMPUTED_VALUE"""),345.0)</f>
        <v>345</v>
      </c>
      <c r="R780" s="69" t="str">
        <f>IFERROR(__xludf.DUMMYFUNCTION("""COMPUTED_VALUE"""),"Credit Suisse, J.P. Morgan")</f>
        <v>Credit Suisse, J.P. Morgan</v>
      </c>
      <c r="S780" s="64">
        <f>IFERROR(__xludf.DUMMYFUNCTION("""COMPUTED_VALUE"""),45000.0)</f>
        <v>45000</v>
      </c>
      <c r="T780" s="70">
        <f>IFERROR(__xludf.DUMMYFUNCTION("""COMPUTED_VALUE"""),0.03561643835616438)</f>
        <v>0.03561643836</v>
      </c>
      <c r="U780" s="71" t="str">
        <f>IFERROR(__xludf.DUMMYFUNCTION("""COMPUTED_VALUE"""),"https://www.sec.gov/cgi-bin/browse-edgar?CIK=1840199")</f>
        <v>https://www.sec.gov/cgi-bin/browse-edgar?CIK=1840199</v>
      </c>
      <c r="V780" s="72" t="str">
        <f>IFERROR(__xludf.DUMMYFUNCTION("""COMPUTED_VALUE"""),"            ")</f>
        <v>            </v>
      </c>
      <c r="W780" s="73"/>
      <c r="X780" s="74"/>
      <c r="Y780" s="75"/>
      <c r="Z780" s="60"/>
      <c r="AA780" s="60"/>
      <c r="AB780" s="60"/>
      <c r="AC780" s="60"/>
      <c r="AD780" s="73"/>
      <c r="AE780" s="73"/>
      <c r="AF780" s="76"/>
      <c r="AG780" s="60"/>
    </row>
    <row r="781">
      <c r="A781" s="88" t="str">
        <f>IFERROR(__xludf.DUMMYFUNCTION("""COMPUTED_VALUE"""),"WARR")</f>
        <v>WARR</v>
      </c>
      <c r="B781" s="55" t="str">
        <f>IFERROR(__xludf.DUMMYFUNCTION("""COMPUTED_VALUE"""),"Warrior Technologies Acquisition Co")</f>
        <v>Warrior Technologies Acquisition Co</v>
      </c>
      <c r="C781" s="56" t="str">
        <f>IFERROR(__xludf.DUMMYFUNCTION("""COMPUTED_VALUE"""),"Searching (Pre Unit Split)")</f>
        <v>Searching (Pre Unit Split)</v>
      </c>
      <c r="D781" s="57" t="str">
        <f>IFERROR(__xludf.DUMMYFUNCTION("""COMPUTED_VALUE"""),"Environmental Services (with strong ESG)")</f>
        <v>Environmental Services (with strong ESG)</v>
      </c>
      <c r="E781" s="58"/>
      <c r="F781" s="59"/>
      <c r="G781" s="60">
        <f>IFERROR(__xludf.DUMMYFUNCTION("""COMPUTED_VALUE"""),2.76E8)</f>
        <v>276000000</v>
      </c>
      <c r="H781" s="60" t="str">
        <f>IFERROR(__xludf.DUMMYFUNCTION("""COMPUTED_VALUE""")," ")</f>
        <v> </v>
      </c>
      <c r="I781" s="66" t="str">
        <f>IFERROR(__xludf.DUMMYFUNCTION("""COMPUTED_VALUE""")," ")</f>
        <v> </v>
      </c>
      <c r="J781" s="62" t="str">
        <f>IFERROR(__xludf.DUMMYFUNCTION("""COMPUTED_VALUE""")," ")</f>
        <v> </v>
      </c>
      <c r="K781" s="59">
        <f>IFERROR(__xludf.DUMMYFUNCTION("""COMPUTED_VALUE"""),10.01)</f>
        <v>10.01</v>
      </c>
      <c r="L781" s="87" t="str">
        <f>IFERROR(__xludf.DUMMYFUNCTION("""COMPUTED_VALUE""")," ")</f>
        <v> </v>
      </c>
      <c r="M781" s="64" t="str">
        <f>IFERROR(__xludf.DUMMYFUNCTION("""COMPUTED_VALUE"""),"U: [1/2 W]; W: [1:1, $11.5]")</f>
        <v>U: [1/2 W]; W: [1:1, $11.5]</v>
      </c>
      <c r="N781" s="65">
        <f>IFERROR(__xludf.DUMMYFUNCTION("""COMPUTED_VALUE"""),44304.0)</f>
        <v>44304</v>
      </c>
      <c r="O781" s="66" t="str">
        <f>IFERROR(__xludf.DUMMYFUNCTION("""COMPUTED_VALUE"""),"")</f>
        <v/>
      </c>
      <c r="P781" s="67">
        <f>IFERROR(__xludf.DUMMYFUNCTION("""COMPUTED_VALUE"""),44252.0)</f>
        <v>44252</v>
      </c>
      <c r="Q781" s="68">
        <f>IFERROR(__xludf.DUMMYFUNCTION("""COMPUTED_VALUE"""),276.0)</f>
        <v>276</v>
      </c>
      <c r="R781" s="69" t="str">
        <f>IFERROR(__xludf.DUMMYFUNCTION("""COMPUTED_VALUE"""),"Raymond James, EarlyBirdCapital")</f>
        <v>Raymond James, EarlyBirdCapital</v>
      </c>
      <c r="S781" s="64">
        <f>IFERROR(__xludf.DUMMYFUNCTION("""COMPUTED_VALUE"""),44982.0)</f>
        <v>44982</v>
      </c>
      <c r="T781" s="70">
        <f>IFERROR(__xludf.DUMMYFUNCTION("""COMPUTED_VALUE"""),0.06027397260273973)</f>
        <v>0.0602739726</v>
      </c>
      <c r="U781" s="71" t="str">
        <f>IFERROR(__xludf.DUMMYFUNCTION("""COMPUTED_VALUE"""),"https://www.sec.gov/cgi-bin/browse-edgar?CIK=1820209")</f>
        <v>https://www.sec.gov/cgi-bin/browse-edgar?CIK=1820209</v>
      </c>
      <c r="V781" s="72" t="str">
        <f>IFERROR(__xludf.DUMMYFUNCTION("""COMPUTED_VALUE"""),"            ")</f>
        <v>            </v>
      </c>
      <c r="W781" s="73"/>
      <c r="X781" s="74"/>
      <c r="Y781" s="75"/>
      <c r="Z781" s="60"/>
      <c r="AA781" s="60"/>
      <c r="AB781" s="60"/>
      <c r="AC781" s="60"/>
      <c r="AD781" s="73"/>
      <c r="AE781" s="73"/>
      <c r="AF781" s="76"/>
      <c r="AG781" s="60"/>
    </row>
    <row r="782">
      <c r="A782" s="88" t="str">
        <f>IFERROR(__xludf.DUMMYFUNCTION("""COMPUTED_VALUE"""),"WAVC")</f>
        <v>WAVC</v>
      </c>
      <c r="B782" s="55" t="str">
        <f>IFERROR(__xludf.DUMMYFUNCTION("""COMPUTED_VALUE"""),"Waverley Capital Acquisition Corp. 1")</f>
        <v>Waverley Capital Acquisition Corp. 1</v>
      </c>
      <c r="C782" s="56" t="str">
        <f>IFERROR(__xludf.DUMMYFUNCTION("""COMPUTED_VALUE"""),"Pre IPO")</f>
        <v>Pre IPO</v>
      </c>
      <c r="D782" s="57" t="str">
        <f>IFERROR(__xludf.DUMMYFUNCTION("""COMPUTED_VALUE"""),"Media, Technology, Entertainment")</f>
        <v>Media, Technology, Entertainment</v>
      </c>
      <c r="E782" s="58"/>
      <c r="F782" s="59" t="str">
        <f>IFERROR(__xludf.DUMMYFUNCTION("""COMPUTED_VALUE"""),"Edgar Bronfman Jr. (Former Chairman and CEO of Warner Music Group, Executive Chairman of fuboTV), Daniel Leff (Co-Founder and Managing Partner of Waverley, Director of fuboTV, and Former Director of Roku), David Gandler (Co-founder &amp; CEO of fuboTV), Jeff "&amp;"Bewkes (Former Chairman &amp; CEO of Time Warner and Former Chairman &amp; CEO of HBO)")</f>
        <v>Edgar Bronfman Jr. (Former Chairman and CEO of Warner Music Group, Executive Chairman of fuboTV), Daniel Leff (Co-Founder and Managing Partner of Waverley, Director of fuboTV, and Former Director of Roku), David Gandler (Co-founder &amp; CEO of fuboTV), Jeff Bewkes (Former Chairman &amp; CEO of Time Warner and Former Chairman &amp; CEO of HBO)</v>
      </c>
      <c r="G782" s="60">
        <f>IFERROR(__xludf.DUMMYFUNCTION("""COMPUTED_VALUE"""),3.0E8)</f>
        <v>300000000</v>
      </c>
      <c r="H782" s="60" t="str">
        <f>IFERROR(__xludf.DUMMYFUNCTION("""COMPUTED_VALUE""")," ")</f>
        <v> </v>
      </c>
      <c r="I782" s="66" t="str">
        <f>IFERROR(__xludf.DUMMYFUNCTION("""COMPUTED_VALUE""")," ")</f>
        <v> </v>
      </c>
      <c r="J782" s="62" t="str">
        <f>IFERROR(__xludf.DUMMYFUNCTION("""COMPUTED_VALUE""")," ")</f>
        <v> </v>
      </c>
      <c r="K782" s="59" t="str">
        <f>IFERROR(__xludf.DUMMYFUNCTION("""COMPUTED_VALUE""")," ")</f>
        <v> </v>
      </c>
      <c r="L782" s="87" t="str">
        <f>IFERROR(__xludf.DUMMYFUNCTION("""COMPUTED_VALUE""")," ")</f>
        <v> </v>
      </c>
      <c r="M782" s="64" t="str">
        <f>IFERROR(__xludf.DUMMYFUNCTION("""COMPUTED_VALUE"""),"U: [1/4 W]; W: [1:1, $11.5]")</f>
        <v>U: [1/4 W]; W: [1:1, $11.5]</v>
      </c>
      <c r="N782" s="65" t="str">
        <f>IFERROR(__xludf.DUMMYFUNCTION("""COMPUTED_VALUE"""),"")</f>
        <v/>
      </c>
      <c r="O782" s="66">
        <f>IFERROR(__xludf.DUMMYFUNCTION("""COMPUTED_VALUE"""),0.0)</f>
        <v>0</v>
      </c>
      <c r="P782" s="67"/>
      <c r="Q782" s="68">
        <f>IFERROR(__xludf.DUMMYFUNCTION("""COMPUTED_VALUE"""),300.0)</f>
        <v>300</v>
      </c>
      <c r="R782" s="69" t="str">
        <f>IFERROR(__xludf.DUMMYFUNCTION("""COMPUTED_VALUE"""),"Evercore ISI, Morgan Stanley")</f>
        <v>Evercore ISI, Morgan Stanley</v>
      </c>
      <c r="S782" s="64">
        <f>IFERROR(__xludf.DUMMYFUNCTION("""COMPUTED_VALUE"""),45086.0)</f>
        <v>45086</v>
      </c>
      <c r="T782" s="70" t="str">
        <f>IFERROR(__xludf.DUMMYFUNCTION("""COMPUTED_VALUE"""),"")</f>
        <v/>
      </c>
      <c r="U782" s="71" t="str">
        <f>IFERROR(__xludf.DUMMYFUNCTION("""COMPUTED_VALUE"""),"https://www.sec.gov/cgi-bin/browse-edgar?CIK=1849580")</f>
        <v>https://www.sec.gov/cgi-bin/browse-edgar?CIK=1849580</v>
      </c>
      <c r="V782" s="72" t="str">
        <f>IFERROR(__xludf.DUMMYFUNCTION("""COMPUTED_VALUE"""),"           Top Tier UW ")</f>
        <v>           Top Tier UW </v>
      </c>
      <c r="W782" s="73"/>
      <c r="X782" s="74"/>
      <c r="Y782" s="75"/>
      <c r="Z782" s="60"/>
      <c r="AA782" s="60"/>
      <c r="AB782" s="60"/>
      <c r="AC782" s="60"/>
      <c r="AD782" s="73"/>
      <c r="AE782" s="73"/>
      <c r="AF782" s="76"/>
      <c r="AG782" s="60"/>
    </row>
    <row r="783">
      <c r="A783" s="88" t="str">
        <f>IFERROR(__xludf.DUMMYFUNCTION("""COMPUTED_VALUE"""),"WCAT")</f>
        <v>WCAT</v>
      </c>
      <c r="B783" s="55" t="str">
        <f>IFERROR(__xludf.DUMMYFUNCTION("""COMPUTED_VALUE"""),"Jaws Wildcat Acquisition Corp")</f>
        <v>Jaws Wildcat Acquisition Corp</v>
      </c>
      <c r="C783" s="56" t="str">
        <f>IFERROR(__xludf.DUMMYFUNCTION("""COMPUTED_VALUE"""),"Pre IPO")</f>
        <v>Pre IPO</v>
      </c>
      <c r="D783" s="77" t="str">
        <f>IFERROR(__xludf.DUMMYFUNCTION("""COMPUTED_VALUE"""),"Consumer Tech")</f>
        <v>Consumer Tech</v>
      </c>
      <c r="E783" s="58"/>
      <c r="F783" s="59" t="str">
        <f>IFERROR(__xludf.DUMMYFUNCTION("""COMPUTED_VALUE"""),"Barry Sternlicht (Chairman and CEO of Starwood Capital)")</f>
        <v>Barry Sternlicht (Chairman and CEO of Starwood Capital)</v>
      </c>
      <c r="G783" s="60">
        <f>IFERROR(__xludf.DUMMYFUNCTION("""COMPUTED_VALUE"""),2.5E8)</f>
        <v>250000000</v>
      </c>
      <c r="H783" s="60" t="str">
        <f>IFERROR(__xludf.DUMMYFUNCTION("""COMPUTED_VALUE""")," ")</f>
        <v> </v>
      </c>
      <c r="I783" s="66" t="str">
        <f>IFERROR(__xludf.DUMMYFUNCTION("""COMPUTED_VALUE""")," ")</f>
        <v> </v>
      </c>
      <c r="J783" s="62" t="str">
        <f>IFERROR(__xludf.DUMMYFUNCTION("""COMPUTED_VALUE""")," ")</f>
        <v> </v>
      </c>
      <c r="K783" s="59" t="str">
        <f>IFERROR(__xludf.DUMMYFUNCTION("""COMPUTED_VALUE""")," ")</f>
        <v> </v>
      </c>
      <c r="L783" s="87" t="str">
        <f>IFERROR(__xludf.DUMMYFUNCTION("""COMPUTED_VALUE""")," ")</f>
        <v> </v>
      </c>
      <c r="M783" s="64" t="str">
        <f>IFERROR(__xludf.DUMMYFUNCTION("""COMPUTED_VALUE"""),"U: [1/4 W]; W: [1:1, $11.5]")</f>
        <v>U: [1/4 W]; W: [1:1, $11.5]</v>
      </c>
      <c r="N783" s="65" t="str">
        <f>IFERROR(__xludf.DUMMYFUNCTION("""COMPUTED_VALUE"""),"")</f>
        <v/>
      </c>
      <c r="O783" s="66">
        <f>IFERROR(__xludf.DUMMYFUNCTION("""COMPUTED_VALUE"""),0.0)</f>
        <v>0</v>
      </c>
      <c r="P783" s="67"/>
      <c r="Q783" s="68">
        <f>IFERROR(__xludf.DUMMYFUNCTION("""COMPUTED_VALUE"""),250.0)</f>
        <v>250</v>
      </c>
      <c r="R783" s="69" t="str">
        <f>IFERROR(__xludf.DUMMYFUNCTION("""COMPUTED_VALUE"""),"Credit Suisse")</f>
        <v>Credit Suisse</v>
      </c>
      <c r="S783" s="64">
        <f>IFERROR(__xludf.DUMMYFUNCTION("""COMPUTED_VALUE"""),45086.0)</f>
        <v>45086</v>
      </c>
      <c r="T783" s="70" t="str">
        <f>IFERROR(__xludf.DUMMYFUNCTION("""COMPUTED_VALUE"""),"")</f>
        <v/>
      </c>
      <c r="U783" s="71" t="str">
        <f>IFERROR(__xludf.DUMMYFUNCTION("""COMPUTED_VALUE"""),"https://www.sec.gov/cgi-bin/browse-edgar?CIK=1842760")</f>
        <v>https://www.sec.gov/cgi-bin/browse-edgar?CIK=1842760</v>
      </c>
      <c r="V783" s="72" t="str">
        <f>IFERROR(__xludf.DUMMYFUNCTION("""COMPUTED_VALUE"""),"         Well-known Sponsor Serial Sponsor  ")</f>
        <v>         Well-known Sponsor Serial Sponsor  </v>
      </c>
      <c r="W783" s="73"/>
      <c r="X783" s="74"/>
      <c r="Y783" s="75"/>
      <c r="Z783" s="60"/>
      <c r="AA783" s="60"/>
      <c r="AB783" s="60"/>
      <c r="AC783" s="60"/>
      <c r="AD783" s="73"/>
      <c r="AE783" s="73"/>
      <c r="AF783" s="76"/>
      <c r="AG783" s="60"/>
    </row>
    <row r="784">
      <c r="A784" s="88" t="str">
        <f>IFERROR(__xludf.DUMMYFUNCTION("""COMPUTED_VALUE"""),"WNNR")</f>
        <v>WNNR</v>
      </c>
      <c r="B784" s="55" t="str">
        <f>IFERROR(__xludf.DUMMYFUNCTION("""COMPUTED_VALUE"""),"Andretti Acquisition Corp.")</f>
        <v>Andretti Acquisition Corp.</v>
      </c>
      <c r="C784" s="56" t="str">
        <f>IFERROR(__xludf.DUMMYFUNCTION("""COMPUTED_VALUE"""),"Pre IPO")</f>
        <v>Pre IPO</v>
      </c>
      <c r="D784" s="57" t="str">
        <f>IFERROR(__xludf.DUMMYFUNCTION("""COMPUTED_VALUE"""),"Automotive sector including advanced mobility and related next-generation tech")</f>
        <v>Automotive sector including advanced mobility and related next-generation tech</v>
      </c>
      <c r="E784" s="58"/>
      <c r="F784" s="59" t="str">
        <f>IFERROR(__xludf.DUMMYFUNCTION("""COMPUTED_VALUE"""),"Michael Andretti (Racecar driver and Owner of Andretti Autosport), Zak Brown (CEO of McLaren Racing), Jim Keyes (Former CEO of Blockbuster and Former CEO of 7-Eleven), Jerry Putnam (Former CO-COO of NYSE Euronext, Former Co-COO of NYSE Group, and Founder "&amp;"&amp; Former CEO of Archipelago Holdings), Mario Andretti (Former Racecar driver)")</f>
        <v>Michael Andretti (Racecar driver and Owner of Andretti Autosport), Zak Brown (CEO of McLaren Racing), Jim Keyes (Former CEO of Blockbuster and Former CEO of 7-Eleven), Jerry Putnam (Former CO-COO of NYSE Euronext, Former Co-COO of NYSE Group, and Founder &amp; Former CEO of Archipelago Holdings), Mario Andretti (Former Racecar driver)</v>
      </c>
      <c r="G784" s="60">
        <f>IFERROR(__xludf.DUMMYFUNCTION("""COMPUTED_VALUE"""),2.5E8)</f>
        <v>250000000</v>
      </c>
      <c r="H784" s="60" t="str">
        <f>IFERROR(__xludf.DUMMYFUNCTION("""COMPUTED_VALUE""")," ")</f>
        <v> </v>
      </c>
      <c r="I784" s="66" t="str">
        <f>IFERROR(__xludf.DUMMYFUNCTION("""COMPUTED_VALUE""")," ")</f>
        <v> </v>
      </c>
      <c r="J784" s="62" t="str">
        <f>IFERROR(__xludf.DUMMYFUNCTION("""COMPUTED_VALUE""")," ")</f>
        <v> </v>
      </c>
      <c r="K784" s="59" t="str">
        <f>IFERROR(__xludf.DUMMYFUNCTION("""COMPUTED_VALUE""")," ")</f>
        <v> </v>
      </c>
      <c r="L784" s="87" t="str">
        <f>IFERROR(__xludf.DUMMYFUNCTION("""COMPUTED_VALUE""")," ")</f>
        <v> </v>
      </c>
      <c r="M784" s="64" t="str">
        <f>IFERROR(__xludf.DUMMYFUNCTION("""COMPUTED_VALUE"""),"U: [1/2 W]; W: [1:1, $11.5]")</f>
        <v>U: [1/2 W]; W: [1:1, $11.5]</v>
      </c>
      <c r="N784" s="65" t="str">
        <f>IFERROR(__xludf.DUMMYFUNCTION("""COMPUTED_VALUE"""),"")</f>
        <v/>
      </c>
      <c r="O784" s="66">
        <f>IFERROR(__xludf.DUMMYFUNCTION("""COMPUTED_VALUE"""),0.0)</f>
        <v>0</v>
      </c>
      <c r="P784" s="67"/>
      <c r="Q784" s="68">
        <f>IFERROR(__xludf.DUMMYFUNCTION("""COMPUTED_VALUE"""),250.0)</f>
        <v>250</v>
      </c>
      <c r="R784" s="69" t="str">
        <f>IFERROR(__xludf.DUMMYFUNCTION("""COMPUTED_VALUE"""),"RBC Capital Markets")</f>
        <v>RBC Capital Markets</v>
      </c>
      <c r="S784" s="64">
        <f>IFERROR(__xludf.DUMMYFUNCTION("""COMPUTED_VALUE"""),45086.0)</f>
        <v>45086</v>
      </c>
      <c r="T784" s="70" t="str">
        <f>IFERROR(__xludf.DUMMYFUNCTION("""COMPUTED_VALUE"""),"")</f>
        <v/>
      </c>
      <c r="U784" s="71" t="str">
        <f>IFERROR(__xludf.DUMMYFUNCTION("""COMPUTED_VALUE"""),"https://www.sec.gov/cgi-bin/browse-edgar?CIK=1843714")</f>
        <v>https://www.sec.gov/cgi-bin/browse-edgar?CIK=1843714</v>
      </c>
      <c r="V784" s="72" t="str">
        <f>IFERROR(__xludf.DUMMYFUNCTION("""COMPUTED_VALUE"""),"         Well-known Sponsor   ")</f>
        <v>         Well-known Sponsor   </v>
      </c>
      <c r="W784" s="73"/>
      <c r="X784" s="74"/>
      <c r="Y784" s="75"/>
      <c r="Z784" s="60"/>
      <c r="AA784" s="60"/>
      <c r="AB784" s="60"/>
      <c r="AC784" s="60"/>
      <c r="AD784" s="73"/>
      <c r="AE784" s="73"/>
      <c r="AF784" s="76"/>
      <c r="AG784" s="60"/>
    </row>
    <row r="785">
      <c r="A785" s="88" t="str">
        <f>IFERROR(__xludf.DUMMYFUNCTION("""COMPUTED_VALUE"""),"WPCA")</f>
        <v>WPCA</v>
      </c>
      <c r="B785" s="55" t="str">
        <f>IFERROR(__xludf.DUMMYFUNCTION("""COMPUTED_VALUE"""),"Warburg Pincus Capital Corp I-A")</f>
        <v>Warburg Pincus Capital Corp I-A</v>
      </c>
      <c r="C785" s="56" t="str">
        <f>IFERROR(__xludf.DUMMYFUNCTION("""COMPUTED_VALUE"""),"Searching (Pre Unit Split)")</f>
        <v>Searching (Pre Unit Split)</v>
      </c>
      <c r="D785" s="57"/>
      <c r="E785" s="58"/>
      <c r="F785" s="59" t="str">
        <f>IFERROR(__xludf.DUMMYFUNCTION("""COMPUTED_VALUE"""),"Warburg Pincus")</f>
        <v>Warburg Pincus</v>
      </c>
      <c r="G785" s="60">
        <f>IFERROR(__xludf.DUMMYFUNCTION("""COMPUTED_VALUE"""),2.5E8)</f>
        <v>250000000</v>
      </c>
      <c r="H785" s="60" t="str">
        <f>IFERROR(__xludf.DUMMYFUNCTION("""COMPUTED_VALUE""")," ")</f>
        <v> </v>
      </c>
      <c r="I785" s="66" t="str">
        <f>IFERROR(__xludf.DUMMYFUNCTION("""COMPUTED_VALUE""")," ")</f>
        <v> </v>
      </c>
      <c r="J785" s="62" t="str">
        <f>IFERROR(__xludf.DUMMYFUNCTION("""COMPUTED_VALUE""")," ")</f>
        <v> </v>
      </c>
      <c r="K785" s="59">
        <f>IFERROR(__xludf.DUMMYFUNCTION("""COMPUTED_VALUE"""),10.29)</f>
        <v>10.29</v>
      </c>
      <c r="L785" s="87" t="str">
        <f>IFERROR(__xludf.DUMMYFUNCTION("""COMPUTED_VALUE""")," ")</f>
        <v> </v>
      </c>
      <c r="M785" s="64" t="str">
        <f>IFERROR(__xludf.DUMMYFUNCTION("""COMPUTED_VALUE"""),"U: [1/5 W]; W: [1:1, $11.5]")</f>
        <v>U: [1/5 W]; W: [1:1, $11.5]</v>
      </c>
      <c r="N785" s="65">
        <f>IFERROR(__xludf.DUMMYFUNCTION("""COMPUTED_VALUE"""),44311.0)</f>
        <v>44311</v>
      </c>
      <c r="O785" s="66" t="str">
        <f>IFERROR(__xludf.DUMMYFUNCTION("""COMPUTED_VALUE"""),"")</f>
        <v/>
      </c>
      <c r="P785" s="67">
        <f>IFERROR(__xludf.DUMMYFUNCTION("""COMPUTED_VALUE"""),44259.0)</f>
        <v>44259</v>
      </c>
      <c r="Q785" s="68">
        <f>IFERROR(__xludf.DUMMYFUNCTION("""COMPUTED_VALUE"""),250.0)</f>
        <v>250</v>
      </c>
      <c r="R785" s="69" t="str">
        <f>IFERROR(__xludf.DUMMYFUNCTION("""COMPUTED_VALUE"""),"Citigroup, Credit Suisse, Evercore ISI")</f>
        <v>Citigroup, Credit Suisse, Evercore ISI</v>
      </c>
      <c r="S785" s="64">
        <f>IFERROR(__xludf.DUMMYFUNCTION("""COMPUTED_VALUE"""),44989.0)</f>
        <v>44989</v>
      </c>
      <c r="T785" s="70">
        <f>IFERROR(__xludf.DUMMYFUNCTION("""COMPUTED_VALUE"""),0.050684931506849315)</f>
        <v>0.05068493151</v>
      </c>
      <c r="U785" s="71" t="str">
        <f>IFERROR(__xludf.DUMMYFUNCTION("""COMPUTED_VALUE"""),"https://www.sec.gov/cgi-bin/browse-edgar?CIK=1836075")</f>
        <v>https://www.sec.gov/cgi-bin/browse-edgar?CIK=1836075</v>
      </c>
      <c r="V785" s="72" t="str">
        <f>IFERROR(__xludf.DUMMYFUNCTION("""COMPUTED_VALUE"""),"         Well-known Sponsor  Top Tier UW ")</f>
        <v>         Well-known Sponsor  Top Tier UW </v>
      </c>
      <c r="W785" s="73"/>
      <c r="X785" s="74"/>
      <c r="Y785" s="75"/>
      <c r="Z785" s="60"/>
      <c r="AA785" s="60"/>
      <c r="AB785" s="60"/>
      <c r="AC785" s="60"/>
      <c r="AD785" s="73"/>
      <c r="AE785" s="73"/>
      <c r="AF785" s="76"/>
      <c r="AG785" s="60"/>
    </row>
    <row r="786">
      <c r="A786" s="88" t="str">
        <f>IFERROR(__xludf.DUMMYFUNCTION("""COMPUTED_VALUE"""),"WPCB")</f>
        <v>WPCB</v>
      </c>
      <c r="B786" s="55" t="str">
        <f>IFERROR(__xludf.DUMMYFUNCTION("""COMPUTED_VALUE"""),"Warburg Pincus Capital Corp I-B")</f>
        <v>Warburg Pincus Capital Corp I-B</v>
      </c>
      <c r="C786" s="56" t="str">
        <f>IFERROR(__xludf.DUMMYFUNCTION("""COMPUTED_VALUE"""),"Searching (Pre Unit Split)")</f>
        <v>Searching (Pre Unit Split)</v>
      </c>
      <c r="D786" s="57"/>
      <c r="E786" s="58"/>
      <c r="F786" s="59" t="str">
        <f>IFERROR(__xludf.DUMMYFUNCTION("""COMPUTED_VALUE"""),"Warburg Pincus")</f>
        <v>Warburg Pincus</v>
      </c>
      <c r="G786" s="60">
        <f>IFERROR(__xludf.DUMMYFUNCTION("""COMPUTED_VALUE"""),5.4875E8)</f>
        <v>548750000</v>
      </c>
      <c r="H786" s="60" t="str">
        <f>IFERROR(__xludf.DUMMYFUNCTION("""COMPUTED_VALUE""")," ")</f>
        <v> </v>
      </c>
      <c r="I786" s="66" t="str">
        <f>IFERROR(__xludf.DUMMYFUNCTION("""COMPUTED_VALUE""")," ")</f>
        <v> </v>
      </c>
      <c r="J786" s="62" t="str">
        <f>IFERROR(__xludf.DUMMYFUNCTION("""COMPUTED_VALUE""")," ")</f>
        <v> </v>
      </c>
      <c r="K786" s="59">
        <f>IFERROR(__xludf.DUMMYFUNCTION("""COMPUTED_VALUE"""),10.08)</f>
        <v>10.08</v>
      </c>
      <c r="L786" s="87" t="str">
        <f>IFERROR(__xludf.DUMMYFUNCTION("""COMPUTED_VALUE""")," ")</f>
        <v> </v>
      </c>
      <c r="M786" s="64" t="str">
        <f>IFERROR(__xludf.DUMMYFUNCTION("""COMPUTED_VALUE"""),"U: [1/5 W]; W: [1:1, $11.5]")</f>
        <v>U: [1/5 W]; W: [1:1, $11.5]</v>
      </c>
      <c r="N786" s="65">
        <f>IFERROR(__xludf.DUMMYFUNCTION("""COMPUTED_VALUE"""),44311.0)</f>
        <v>44311</v>
      </c>
      <c r="O786" s="66" t="str">
        <f>IFERROR(__xludf.DUMMYFUNCTION("""COMPUTED_VALUE"""),"")</f>
        <v/>
      </c>
      <c r="P786" s="67">
        <f>IFERROR(__xludf.DUMMYFUNCTION("""COMPUTED_VALUE"""),44259.0)</f>
        <v>44259</v>
      </c>
      <c r="Q786" s="68">
        <f>IFERROR(__xludf.DUMMYFUNCTION("""COMPUTED_VALUE"""),548.75)</f>
        <v>548.75</v>
      </c>
      <c r="R786" s="69" t="str">
        <f>IFERROR(__xludf.DUMMYFUNCTION("""COMPUTED_VALUE"""),"Citigroup, Credit Suisse, Evercore ISI")</f>
        <v>Citigroup, Credit Suisse, Evercore ISI</v>
      </c>
      <c r="S786" s="64">
        <f>IFERROR(__xludf.DUMMYFUNCTION("""COMPUTED_VALUE"""),44989.0)</f>
        <v>44989</v>
      </c>
      <c r="T786" s="70">
        <f>IFERROR(__xludf.DUMMYFUNCTION("""COMPUTED_VALUE"""),0.050684931506849315)</f>
        <v>0.05068493151</v>
      </c>
      <c r="U786" s="71" t="str">
        <f>IFERROR(__xludf.DUMMYFUNCTION("""COMPUTED_VALUE"""),"https://www.sec.gov/cgi-bin/browse-edgar?CIK=1836074")</f>
        <v>https://www.sec.gov/cgi-bin/browse-edgar?CIK=1836074</v>
      </c>
      <c r="V786" s="72" t="str">
        <f>IFERROR(__xludf.DUMMYFUNCTION("""COMPUTED_VALUE"""),"   $500M+ Trust     Well-known Sponsor  Top Tier UW ")</f>
        <v>   $500M+ Trust     Well-known Sponsor  Top Tier UW </v>
      </c>
      <c r="W786" s="73"/>
      <c r="X786" s="74"/>
      <c r="Y786" s="75"/>
      <c r="Z786" s="60"/>
      <c r="AA786" s="60"/>
      <c r="AB786" s="60"/>
      <c r="AC786" s="60"/>
      <c r="AD786" s="73"/>
      <c r="AE786" s="73"/>
      <c r="AF786" s="76"/>
      <c r="AG786" s="60"/>
    </row>
    <row r="787">
      <c r="A787" s="54" t="str">
        <f>IFERROR(__xludf.DUMMYFUNCTION("""COMPUTED_VALUE"""),"WPF")</f>
        <v>WPF</v>
      </c>
      <c r="B787" s="55" t="str">
        <f>IFERROR(__xludf.DUMMYFUNCTION("""COMPUTED_VALUE"""),"Foley Trasimene Acquisition Corp")</f>
        <v>Foley Trasimene Acquisition Corp</v>
      </c>
      <c r="C787" s="56" t="str">
        <f>IFERROR(__xludf.DUMMYFUNCTION("""COMPUTED_VALUE"""),"Definitive Agreement")</f>
        <v>Definitive Agreement</v>
      </c>
      <c r="D787" s="57" t="str">
        <f>IFERROR(__xludf.DUMMYFUNCTION("""COMPUTED_VALUE"""),"Fintech")</f>
        <v>Fintech</v>
      </c>
      <c r="E787" s="58" t="str">
        <f>IFERROR(__xludf.DUMMYFUNCTION("""COMPUTED_VALUE"""),"Alight [DA: 01/25/21]")</f>
        <v>Alight [DA: 01/25/21]</v>
      </c>
      <c r="F787" s="59" t="str">
        <f>IFERROR(__xludf.DUMMYFUNCTION("""COMPUTED_VALUE"""),"Bill Foley (Chairman of Fidelity National Financial and Black Knight; Owner of NHL Team: Vegas Golden Knights)")</f>
        <v>Bill Foley (Chairman of Fidelity National Financial and Black Knight; Owner of NHL Team: Vegas Golden Knights)</v>
      </c>
      <c r="G787" s="60">
        <f>IFERROR(__xludf.DUMMYFUNCTION("""COMPUTED_VALUE"""),1.035124456E9)</f>
        <v>1035124456</v>
      </c>
      <c r="H787" s="60">
        <f>IFERROR(__xludf.DUMMYFUNCTION("""COMPUTED_VALUE"""),1.036035E9)</f>
        <v>1036035000</v>
      </c>
      <c r="I787" s="66">
        <f>IFERROR(__xludf.DUMMYFUNCTION("""COMPUTED_VALUE"""),10.01)</f>
        <v>10.01</v>
      </c>
      <c r="J787" s="62">
        <f>IFERROR(__xludf.DUMMYFUNCTION("""COMPUTED_VALUE"""),-0.00793)</f>
        <v>-0.00793</v>
      </c>
      <c r="K787" s="59">
        <f>IFERROR(__xludf.DUMMYFUNCTION("""COMPUTED_VALUE"""),10.6)</f>
        <v>10.6</v>
      </c>
      <c r="L787" s="87">
        <f>IFERROR(__xludf.DUMMYFUNCTION("""COMPUTED_VALUE"""),1.68)</f>
        <v>1.68</v>
      </c>
      <c r="M787" s="64" t="str">
        <f>IFERROR(__xludf.DUMMYFUNCTION("""COMPUTED_VALUE"""),"U: [1/3 W]; W: [1:1, $11.5]")</f>
        <v>U: [1/3 W]; W: [1:1, $11.5]</v>
      </c>
      <c r="N787" s="65" t="str">
        <f>IFERROR(__xludf.DUMMYFUNCTION("""COMPUTED_VALUE"""),"")</f>
        <v/>
      </c>
      <c r="O787" s="66">
        <f>IFERROR(__xludf.DUMMYFUNCTION("""COMPUTED_VALUE"""),0.0)</f>
        <v>0</v>
      </c>
      <c r="P787" s="67">
        <f>IFERROR(__xludf.DUMMYFUNCTION("""COMPUTED_VALUE"""),43978.0)</f>
        <v>43978</v>
      </c>
      <c r="Q787" s="68">
        <f>IFERROR(__xludf.DUMMYFUNCTION("""COMPUTED_VALUE"""),1035.0)</f>
        <v>1035</v>
      </c>
      <c r="R787" s="69" t="str">
        <f>IFERROR(__xludf.DUMMYFUNCTION("""COMPUTED_VALUE"""),"Credit Suisse, BofA Securities")</f>
        <v>Credit Suisse, BofA Securities</v>
      </c>
      <c r="S787" s="64">
        <f>IFERROR(__xludf.DUMMYFUNCTION("""COMPUTED_VALUE"""),44708.0)</f>
        <v>44708</v>
      </c>
      <c r="T787" s="70">
        <f>IFERROR(__xludf.DUMMYFUNCTION("""COMPUTED_VALUE"""),0.43561643835616437)</f>
        <v>0.4356164384</v>
      </c>
      <c r="U787" s="71" t="str">
        <f>IFERROR(__xludf.DUMMYFUNCTION("""COMPUTED_VALUE"""),"https://www.sec.gov/cgi-bin/browse-edgar?CIK=1809104")</f>
        <v>https://www.sec.gov/cgi-bin/browse-edgar?CIK=1809104</v>
      </c>
      <c r="V787" s="72" t="str">
        <f>IFERROR(__xludf.DUMMYFUNCTION("""COMPUTED_VALUE"""),"   $500M+ Trust Optionable    Well-known Sponsor Serial Sponsor Top Tier UW ")</f>
        <v>   $500M+ Trust Optionable    Well-known Sponsor Serial Sponsor Top Tier UW </v>
      </c>
      <c r="W787" s="73">
        <f>IFERROR(__xludf.DUMMYFUNCTION("""COMPUTED_VALUE"""),44221.0)</f>
        <v>44221</v>
      </c>
      <c r="X787" s="79">
        <f>IFERROR(__xludf.DUMMYFUNCTION("""COMPUTED_VALUE"""),8.1)</f>
        <v>8.1</v>
      </c>
      <c r="Y787" s="80" t="str">
        <f>IFERROR(__xludf.DUMMYFUNCTION("""COMPUTED_VALUE"""),"https://www.businesswire.com/news/home/20210125005389/en/Foley-Trasimene-Acquisition-Corp.-and-Alight-Solutions-Announce-Merger")</f>
        <v>https://www.businesswire.com/news/home/20210125005389/en/Foley-Trasimene-Acquisition-Corp.-and-Alight-Solutions-Announce-Merger</v>
      </c>
      <c r="Z787" s="81" t="str">
        <f>IFERROR(__xludf.DUMMYFUNCTION("""COMPUTED_VALUE"""),"https://www.sec.gov/Archives/edgar/data/1809104/000110465921006843/tm214027d1_ex99-2.htm")</f>
        <v>https://www.sec.gov/Archives/edgar/data/1809104/000110465921006843/tm214027d1_ex99-2.htm</v>
      </c>
      <c r="AA787" s="60">
        <f>IFERROR(__xludf.DUMMYFUNCTION("""COMPUTED_VALUE"""),1.55E9)</f>
        <v>1550000000</v>
      </c>
      <c r="AB787" s="60">
        <f>IFERROR(__xludf.DUMMYFUNCTION("""COMPUTED_VALUE"""),5.385E9)</f>
        <v>5385000000</v>
      </c>
      <c r="AC787" s="60">
        <f>IFERROR(__xludf.DUMMYFUNCTION("""COMPUTED_VALUE"""),7.3E9)</f>
        <v>7300000000</v>
      </c>
      <c r="AD787" s="73"/>
      <c r="AE787" s="73"/>
      <c r="AF787" s="76">
        <f>IFERROR(__xludf.DUMMYFUNCTION("""COMPUTED_VALUE"""),5.385E8)</f>
        <v>538500000</v>
      </c>
      <c r="AG787" s="60">
        <f>IFERROR(__xludf.DUMMYFUNCTION("""COMPUTED_VALUE"""),5.390385E9)</f>
        <v>5390385000</v>
      </c>
    </row>
    <row r="788">
      <c r="A788" s="88" t="str">
        <f>IFERROR(__xludf.DUMMYFUNCTION("""COMPUTED_VALUE"""),"XLSA")</f>
        <v>XLSA</v>
      </c>
      <c r="B788" s="55" t="str">
        <f>IFERROR(__xludf.DUMMYFUNCTION("""COMPUTED_VALUE"""),"Excelsa Acquisition Corp.")</f>
        <v>Excelsa Acquisition Corp.</v>
      </c>
      <c r="C788" s="56" t="str">
        <f>IFERROR(__xludf.DUMMYFUNCTION("""COMPUTED_VALUE"""),"Pre IPO")</f>
        <v>Pre IPO</v>
      </c>
      <c r="D788" s="57" t="str">
        <f>IFERROR(__xludf.DUMMYFUNCTION("""COMPUTED_VALUE"""),"Latin America")</f>
        <v>Latin America</v>
      </c>
      <c r="E788" s="58"/>
      <c r="F788" s="59"/>
      <c r="G788" s="60">
        <f>IFERROR(__xludf.DUMMYFUNCTION("""COMPUTED_VALUE"""),2.5E8)</f>
        <v>250000000</v>
      </c>
      <c r="H788" s="60" t="str">
        <f>IFERROR(__xludf.DUMMYFUNCTION("""COMPUTED_VALUE""")," ")</f>
        <v> </v>
      </c>
      <c r="I788" s="66" t="str">
        <f>IFERROR(__xludf.DUMMYFUNCTION("""COMPUTED_VALUE""")," ")</f>
        <v> </v>
      </c>
      <c r="J788" s="62" t="str">
        <f>IFERROR(__xludf.DUMMYFUNCTION("""COMPUTED_VALUE""")," ")</f>
        <v> </v>
      </c>
      <c r="K788" s="59" t="str">
        <f>IFERROR(__xludf.DUMMYFUNCTION("""COMPUTED_VALUE""")," ")</f>
        <v> </v>
      </c>
      <c r="L788" s="87" t="str">
        <f>IFERROR(__xludf.DUMMYFUNCTION("""COMPUTED_VALUE""")," ")</f>
        <v> </v>
      </c>
      <c r="M788" s="64" t="str">
        <f>IFERROR(__xludf.DUMMYFUNCTION("""COMPUTED_VALUE"""),"U: [1/3 W]; W: [1:1, $11.5]")</f>
        <v>U: [1/3 W]; W: [1:1, $11.5]</v>
      </c>
      <c r="N788" s="65" t="str">
        <f>IFERROR(__xludf.DUMMYFUNCTION("""COMPUTED_VALUE"""),"")</f>
        <v/>
      </c>
      <c r="O788" s="66">
        <f>IFERROR(__xludf.DUMMYFUNCTION("""COMPUTED_VALUE"""),0.0)</f>
        <v>0</v>
      </c>
      <c r="P788" s="67"/>
      <c r="Q788" s="68">
        <f>IFERROR(__xludf.DUMMYFUNCTION("""COMPUTED_VALUE"""),250.0)</f>
        <v>250</v>
      </c>
      <c r="R788" s="69" t="str">
        <f>IFERROR(__xludf.DUMMYFUNCTION("""COMPUTED_VALUE"""),"Credit Suisse, J.P. Morgan")</f>
        <v>Credit Suisse, J.P. Morgan</v>
      </c>
      <c r="S788" s="64">
        <f>IFERROR(__xludf.DUMMYFUNCTION("""COMPUTED_VALUE"""),45086.0)</f>
        <v>45086</v>
      </c>
      <c r="T788" s="70" t="str">
        <f>IFERROR(__xludf.DUMMYFUNCTION("""COMPUTED_VALUE"""),"")</f>
        <v/>
      </c>
      <c r="U788" s="71" t="str">
        <f>IFERROR(__xludf.DUMMYFUNCTION("""COMPUTED_VALUE"""),"https://www.sec.gov/cgi-bin/browse-edgar?CIK=1849410")</f>
        <v>https://www.sec.gov/cgi-bin/browse-edgar?CIK=1849410</v>
      </c>
      <c r="V788" s="72" t="str">
        <f>IFERROR(__xludf.DUMMYFUNCTION("""COMPUTED_VALUE"""),"            ")</f>
        <v>            </v>
      </c>
      <c r="W788" s="73"/>
      <c r="X788" s="74"/>
      <c r="Y788" s="75"/>
      <c r="Z788" s="60"/>
      <c r="AA788" s="60"/>
      <c r="AB788" s="60"/>
      <c r="AC788" s="60"/>
      <c r="AD788" s="73"/>
      <c r="AE788" s="73"/>
      <c r="AF788" s="76"/>
      <c r="AG788" s="60"/>
    </row>
    <row r="789">
      <c r="A789" s="54" t="str">
        <f>IFERROR(__xludf.DUMMYFUNCTION("""COMPUTED_VALUE"""),"XPDI")</f>
        <v>XPDI</v>
      </c>
      <c r="B789" s="55" t="str">
        <f>IFERROR(__xludf.DUMMYFUNCTION("""COMPUTED_VALUE"""),"Power &amp; Digital Infrastructure Acquisition Corp.")</f>
        <v>Power &amp; Digital Infrastructure Acquisition Corp.</v>
      </c>
      <c r="C789" s="56" t="str">
        <f>IFERROR(__xludf.DUMMYFUNCTION("""COMPUTED_VALUE"""),"Searching")</f>
        <v>Searching</v>
      </c>
      <c r="D789" s="57" t="str">
        <f>IFERROR(__xludf.DUMMYFUNCTION("""COMPUTED_VALUE"""),"Electrical Power Grid Transition, Energy Transition, Sustainability")</f>
        <v>Electrical Power Grid Transition, Energy Transition, Sustainability</v>
      </c>
      <c r="E789" s="58"/>
      <c r="F789" s="59"/>
      <c r="G789" s="60">
        <f>IFERROR(__xludf.DUMMYFUNCTION("""COMPUTED_VALUE"""),3.45E8)</f>
        <v>345000000</v>
      </c>
      <c r="H789" s="60">
        <f>IFERROR(__xludf.DUMMYFUNCTION("""COMPUTED_VALUE"""),3.43275E8)</f>
        <v>343275000</v>
      </c>
      <c r="I789" s="66">
        <f>IFERROR(__xludf.DUMMYFUNCTION("""COMPUTED_VALUE"""),9.95)</f>
        <v>9.95</v>
      </c>
      <c r="J789" s="62">
        <f>IFERROR(__xludf.DUMMYFUNCTION("""COMPUTED_VALUE"""),-0.01485)</f>
        <v>-0.01485</v>
      </c>
      <c r="K789" s="59">
        <f>IFERROR(__xludf.DUMMYFUNCTION("""COMPUTED_VALUE"""),10.33)</f>
        <v>10.33</v>
      </c>
      <c r="L789" s="87">
        <f>IFERROR(__xludf.DUMMYFUNCTION("""COMPUTED_VALUE"""),1.4332)</f>
        <v>1.4332</v>
      </c>
      <c r="M789" s="64" t="str">
        <f>IFERROR(__xludf.DUMMYFUNCTION("""COMPUTED_VALUE"""),"U: [1/4 W]; W: [1:1, $11.5]")</f>
        <v>U: [1/4 W]; W: [1:1, $11.5]</v>
      </c>
      <c r="N789" s="65" t="str">
        <f>IFERROR(__xludf.DUMMYFUNCTION("""COMPUTED_VALUE"""),"")</f>
        <v/>
      </c>
      <c r="O789" s="66">
        <f>IFERROR(__xludf.DUMMYFUNCTION("""COMPUTED_VALUE"""),0.0)</f>
        <v>0</v>
      </c>
      <c r="P789" s="67">
        <f>IFERROR(__xludf.DUMMYFUNCTION("""COMPUTED_VALUE"""),44236.0)</f>
        <v>44236</v>
      </c>
      <c r="Q789" s="68">
        <f>IFERROR(__xludf.DUMMYFUNCTION("""COMPUTED_VALUE"""),345.0)</f>
        <v>345</v>
      </c>
      <c r="R789" s="69" t="str">
        <f>IFERROR(__xludf.DUMMYFUNCTION("""COMPUTED_VALUE"""),"Barclays, BofA Securities")</f>
        <v>Barclays, BofA Securities</v>
      </c>
      <c r="S789" s="64">
        <f>IFERROR(__xludf.DUMMYFUNCTION("""COMPUTED_VALUE"""),44966.0)</f>
        <v>44966</v>
      </c>
      <c r="T789" s="70">
        <f>IFERROR(__xludf.DUMMYFUNCTION("""COMPUTED_VALUE"""),0.0821917808219178)</f>
        <v>0.08219178082</v>
      </c>
      <c r="U789" s="71" t="str">
        <f>IFERROR(__xludf.DUMMYFUNCTION("""COMPUTED_VALUE"""),"https://www.sec.gov/cgi-bin/browse-edgar?CIK=1839341")</f>
        <v>https://www.sec.gov/cgi-bin/browse-edgar?CIK=1839341</v>
      </c>
      <c r="V789" s="72" t="str">
        <f>IFERROR(__xludf.DUMMYFUNCTION("""COMPUTED_VALUE""")," Trading Below $10 (Common)          Top Tier UW ")</f>
        <v> Trading Below $10 (Common)          Top Tier UW </v>
      </c>
      <c r="W789" s="73"/>
      <c r="X789" s="74"/>
      <c r="Y789" s="75"/>
      <c r="Z789" s="60"/>
      <c r="AA789" s="60"/>
      <c r="AB789" s="60"/>
      <c r="AC789" s="60"/>
      <c r="AD789" s="73"/>
      <c r="AE789" s="73"/>
      <c r="AF789" s="76"/>
      <c r="AG789" s="60" t="str">
        <f>IFERROR(__xludf.DUMMYFUNCTION("""COMPUTED_VALUE"""),"")</f>
        <v/>
      </c>
    </row>
    <row r="790">
      <c r="A790" s="54" t="str">
        <f>IFERROR(__xludf.DUMMYFUNCTION("""COMPUTED_VALUE"""),"XPOA")</f>
        <v>XPOA</v>
      </c>
      <c r="B790" s="55" t="str">
        <f>IFERROR(__xludf.DUMMYFUNCTION("""COMPUTED_VALUE"""),"DPCM Capital, Inc.")</f>
        <v>DPCM Capital, Inc.</v>
      </c>
      <c r="C790" s="56" t="str">
        <f>IFERROR(__xludf.DUMMYFUNCTION("""COMPUTED_VALUE"""),"Searching")</f>
        <v>Searching</v>
      </c>
      <c r="D790" s="57" t="str">
        <f>IFERROR(__xludf.DUMMYFUNCTION("""COMPUTED_VALUE"""),"Tech")</f>
        <v>Tech</v>
      </c>
      <c r="E790" s="58"/>
      <c r="F790" s="59" t="str">
        <f>IFERROR(__xludf.DUMMYFUNCTION("""COMPUTED_VALUE"""),"Emil Michael (Fmr Chief Business Officer, Uber), Eric Schmidt (Fmr Google CEO and Chairman, Fmr Exec Chairman, Alphabet) Shervin Pishevar (Co-founder, Sherpa Capital), Betsy Atkins (Fmr CEO, Clear Standards; Co-founder Ascend Communications)")</f>
        <v>Emil Michael (Fmr Chief Business Officer, Uber), Eric Schmidt (Fmr Google CEO and Chairman, Fmr Exec Chairman, Alphabet) Shervin Pishevar (Co-founder, Sherpa Capital), Betsy Atkins (Fmr CEO, Clear Standards; Co-founder Ascend Communications)</v>
      </c>
      <c r="G790" s="60">
        <f>IFERROR(__xludf.DUMMYFUNCTION("""COMPUTED_VALUE"""),3.00058477E8)</f>
        <v>300058477</v>
      </c>
      <c r="H790" s="60">
        <f>IFERROR(__xludf.DUMMYFUNCTION("""COMPUTED_VALUE"""),3.003E8)</f>
        <v>300300000</v>
      </c>
      <c r="I790" s="66">
        <f>IFERROR(__xludf.DUMMYFUNCTION("""COMPUTED_VALUE"""),10.01)</f>
        <v>10.01</v>
      </c>
      <c r="J790" s="62">
        <f>IFERROR(__xludf.DUMMYFUNCTION("""COMPUTED_VALUE"""),-0.00744)</f>
        <v>-0.00744</v>
      </c>
      <c r="K790" s="59">
        <f>IFERROR(__xludf.DUMMYFUNCTION("""COMPUTED_VALUE"""),10.4672)</f>
        <v>10.4672</v>
      </c>
      <c r="L790" s="87">
        <f>IFERROR(__xludf.DUMMYFUNCTION("""COMPUTED_VALUE"""),1.3)</f>
        <v>1.3</v>
      </c>
      <c r="M790" s="64" t="str">
        <f>IFERROR(__xludf.DUMMYFUNCTION("""COMPUTED_VALUE"""),"U: [1/3 W]; W: [1:1, $11.5]")</f>
        <v>U: [1/3 W]; W: [1:1, $11.5]</v>
      </c>
      <c r="N790" s="65" t="str">
        <f>IFERROR(__xludf.DUMMYFUNCTION("""COMPUTED_VALUE"""),"")</f>
        <v/>
      </c>
      <c r="O790" s="66">
        <f>IFERROR(__xludf.DUMMYFUNCTION("""COMPUTED_VALUE"""),0.0)</f>
        <v>0</v>
      </c>
      <c r="P790" s="67">
        <f>IFERROR(__xludf.DUMMYFUNCTION("""COMPUTED_VALUE"""),44125.0)</f>
        <v>44125</v>
      </c>
      <c r="Q790" s="68">
        <f>IFERROR(__xludf.DUMMYFUNCTION("""COMPUTED_VALUE"""),300.0)</f>
        <v>300</v>
      </c>
      <c r="R790" s="69" t="str">
        <f>IFERROR(__xludf.DUMMYFUNCTION("""COMPUTED_VALUE"""),"UBS")</f>
        <v>UBS</v>
      </c>
      <c r="S790" s="64">
        <f>IFERROR(__xludf.DUMMYFUNCTION("""COMPUTED_VALUE"""),44855.0)</f>
        <v>44855</v>
      </c>
      <c r="T790" s="70">
        <f>IFERROR(__xludf.DUMMYFUNCTION("""COMPUTED_VALUE"""),0.23424657534246576)</f>
        <v>0.2342465753</v>
      </c>
      <c r="U790" s="71" t="str">
        <f>IFERROR(__xludf.DUMMYFUNCTION("""COMPUTED_VALUE"""),"https://www.sec.gov/cgi-bin/browse-edgar?CIK=1821742")</f>
        <v>https://www.sec.gov/cgi-bin/browse-edgar?CIK=1821742</v>
      </c>
      <c r="V790" s="72" t="str">
        <f>IFERROR(__xludf.DUMMYFUNCTION("""COMPUTED_VALUE"""),"     Optionable    Well-known Sponsor   ")</f>
        <v>     Optionable    Well-known Sponsor   </v>
      </c>
      <c r="W790" s="73"/>
      <c r="X790" s="74"/>
      <c r="Y790" s="75"/>
      <c r="Z790" s="60"/>
      <c r="AA790" s="60"/>
      <c r="AB790" s="60"/>
      <c r="AC790" s="60"/>
      <c r="AD790" s="73"/>
      <c r="AE790" s="73"/>
      <c r="AF790" s="76"/>
      <c r="AG790" s="60" t="str">
        <f>IFERROR(__xludf.DUMMYFUNCTION("""COMPUTED_VALUE"""),"")</f>
        <v/>
      </c>
    </row>
    <row r="791">
      <c r="A791" s="88" t="str">
        <f>IFERROR(__xludf.DUMMYFUNCTION("""COMPUTED_VALUE"""),"XXXX")</f>
        <v>XXXX</v>
      </c>
      <c r="B791" s="55" t="str">
        <f>IFERROR(__xludf.DUMMYFUNCTION("""COMPUTED_VALUE"""),"Capitol Investment Corp. VI")</f>
        <v>Capitol Investment Corp. VI</v>
      </c>
      <c r="C791" s="56" t="str">
        <f>IFERROR(__xludf.DUMMYFUNCTION("""COMPUTED_VALUE"""),"Pre IPO")</f>
        <v>Pre IPO</v>
      </c>
      <c r="D791" s="57"/>
      <c r="E791" s="58"/>
      <c r="F791" s="59" t="str">
        <f>IFERROR(__xludf.DUMMYFUNCTION("""COMPUTED_VALUE"""),"Mark Ein, Dyson Dryden, Raul Fernandez (Vice Chair, Moumental Sports &amp; Entertainment), Tad Smith, Jr. (Fmr CEO, Sotheby's)")</f>
        <v>Mark Ein, Dyson Dryden, Raul Fernandez (Vice Chair, Moumental Sports &amp; Entertainment), Tad Smith, Jr. (Fmr CEO, Sotheby's)</v>
      </c>
      <c r="G791" s="60">
        <f>IFERROR(__xludf.DUMMYFUNCTION("""COMPUTED_VALUE"""),2.0E8)</f>
        <v>200000000</v>
      </c>
      <c r="H791" s="60" t="str">
        <f>IFERROR(__xludf.DUMMYFUNCTION("""COMPUTED_VALUE""")," ")</f>
        <v> </v>
      </c>
      <c r="I791" s="66" t="str">
        <f>IFERROR(__xludf.DUMMYFUNCTION("""COMPUTED_VALUE""")," ")</f>
        <v> </v>
      </c>
      <c r="J791" s="62" t="str">
        <f>IFERROR(__xludf.DUMMYFUNCTION("""COMPUTED_VALUE""")," ")</f>
        <v> </v>
      </c>
      <c r="K791" s="59" t="str">
        <f>IFERROR(__xludf.DUMMYFUNCTION("""COMPUTED_VALUE""")," ")</f>
        <v> </v>
      </c>
      <c r="L791" s="87" t="str">
        <f>IFERROR(__xludf.DUMMYFUNCTION("""COMPUTED_VALUE""")," ")</f>
        <v> </v>
      </c>
      <c r="M791" s="64" t="str">
        <f>IFERROR(__xludf.DUMMYFUNCTION("""COMPUTED_VALUE"""),"U: [1/4 W]; W: [1:1, $11.5]")</f>
        <v>U: [1/4 W]; W: [1:1, $11.5]</v>
      </c>
      <c r="N791" s="65" t="str">
        <f>IFERROR(__xludf.DUMMYFUNCTION("""COMPUTED_VALUE"""),"")</f>
        <v/>
      </c>
      <c r="O791" s="66" t="str">
        <f>IFERROR(__xludf.DUMMYFUNCTION("""COMPUTED_VALUE"""),"")</f>
        <v/>
      </c>
      <c r="P791" s="67"/>
      <c r="Q791" s="68">
        <f>IFERROR(__xludf.DUMMYFUNCTION("""COMPUTED_VALUE"""),200.0)</f>
        <v>200</v>
      </c>
      <c r="R791" s="69" t="str">
        <f>IFERROR(__xludf.DUMMYFUNCTION("""COMPUTED_VALUE"""),"Citigroup, Deutsche Bank Securities")</f>
        <v>Citigroup, Deutsche Bank Securities</v>
      </c>
      <c r="S791" s="64">
        <f>IFERROR(__xludf.DUMMYFUNCTION("""COMPUTED_VALUE"""),45086.0)</f>
        <v>45086</v>
      </c>
      <c r="T791" s="70" t="str">
        <f>IFERROR(__xludf.DUMMYFUNCTION("""COMPUTED_VALUE"""),"")</f>
        <v/>
      </c>
      <c r="U791" s="71" t="str">
        <f>IFERROR(__xludf.DUMMYFUNCTION("""COMPUTED_VALUE"""),"https://www.sec.gov/cgi-bin/browse-edgar?CIK=1843794")</f>
        <v>https://www.sec.gov/cgi-bin/browse-edgar?CIK=1843794</v>
      </c>
      <c r="V791" s="72" t="str">
        <f>IFERROR(__xludf.DUMMYFUNCTION("""COMPUTED_VALUE"""),"          Serial Sponsor Top Tier UW ")</f>
        <v>          Serial Sponsor Top Tier UW </v>
      </c>
      <c r="W791" s="73"/>
      <c r="X791" s="74"/>
      <c r="Y791" s="75"/>
      <c r="Z791" s="60"/>
      <c r="AA791" s="60"/>
      <c r="AB791" s="60"/>
      <c r="AC791" s="60"/>
      <c r="AD791" s="73"/>
      <c r="AE791" s="73"/>
      <c r="AF791" s="76"/>
      <c r="AG791" s="60"/>
    </row>
    <row r="792">
      <c r="A792" s="88" t="str">
        <f>IFERROR(__xludf.DUMMYFUNCTION("""COMPUTED_VALUE"""),"XXXX")</f>
        <v>XXXX</v>
      </c>
      <c r="B792" s="55" t="str">
        <f>IFERROR(__xludf.DUMMYFUNCTION("""COMPUTED_VALUE"""),"Capitol Investment Corp. VII")</f>
        <v>Capitol Investment Corp. VII</v>
      </c>
      <c r="C792" s="56" t="str">
        <f>IFERROR(__xludf.DUMMYFUNCTION("""COMPUTED_VALUE"""),"Pre IPO")</f>
        <v>Pre IPO</v>
      </c>
      <c r="D792" s="57"/>
      <c r="E792" s="58"/>
      <c r="F792" s="59" t="str">
        <f>IFERROR(__xludf.DUMMYFUNCTION("""COMPUTED_VALUE"""),"Mark Ein, Dyson Dryden, Raul Fernandez (Vice Chair, Moumental Sports &amp; Entertainment), Tad Smith, Jr. (Fmr CEO, Sotheby's)")</f>
        <v>Mark Ein, Dyson Dryden, Raul Fernandez (Vice Chair, Moumental Sports &amp; Entertainment), Tad Smith, Jr. (Fmr CEO, Sotheby's)</v>
      </c>
      <c r="G792" s="60">
        <f>IFERROR(__xludf.DUMMYFUNCTION("""COMPUTED_VALUE"""),4.0E8)</f>
        <v>400000000</v>
      </c>
      <c r="H792" s="60" t="str">
        <f>IFERROR(__xludf.DUMMYFUNCTION("""COMPUTED_VALUE""")," ")</f>
        <v> </v>
      </c>
      <c r="I792" s="66" t="str">
        <f>IFERROR(__xludf.DUMMYFUNCTION("""COMPUTED_VALUE""")," ")</f>
        <v> </v>
      </c>
      <c r="J792" s="62" t="str">
        <f>IFERROR(__xludf.DUMMYFUNCTION("""COMPUTED_VALUE""")," ")</f>
        <v> </v>
      </c>
      <c r="K792" s="59" t="str">
        <f>IFERROR(__xludf.DUMMYFUNCTION("""COMPUTED_VALUE""")," ")</f>
        <v> </v>
      </c>
      <c r="L792" s="87" t="str">
        <f>IFERROR(__xludf.DUMMYFUNCTION("""COMPUTED_VALUE""")," ")</f>
        <v> </v>
      </c>
      <c r="M792" s="64" t="str">
        <f>IFERROR(__xludf.DUMMYFUNCTION("""COMPUTED_VALUE"""),"U: [1/4 W]; W: [1:1, $11.5]")</f>
        <v>U: [1/4 W]; W: [1:1, $11.5]</v>
      </c>
      <c r="N792" s="65" t="str">
        <f>IFERROR(__xludf.DUMMYFUNCTION("""COMPUTED_VALUE"""),"")</f>
        <v/>
      </c>
      <c r="O792" s="66" t="str">
        <f>IFERROR(__xludf.DUMMYFUNCTION("""COMPUTED_VALUE"""),"")</f>
        <v/>
      </c>
      <c r="P792" s="67"/>
      <c r="Q792" s="68">
        <f>IFERROR(__xludf.DUMMYFUNCTION("""COMPUTED_VALUE"""),400.0)</f>
        <v>400</v>
      </c>
      <c r="R792" s="69" t="str">
        <f>IFERROR(__xludf.DUMMYFUNCTION("""COMPUTED_VALUE"""),"Citigroup, Deutsche Bank Securities")</f>
        <v>Citigroup, Deutsche Bank Securities</v>
      </c>
      <c r="S792" s="64">
        <f>IFERROR(__xludf.DUMMYFUNCTION("""COMPUTED_VALUE"""),45086.0)</f>
        <v>45086</v>
      </c>
      <c r="T792" s="70" t="str">
        <f>IFERROR(__xludf.DUMMYFUNCTION("""COMPUTED_VALUE"""),"")</f>
        <v/>
      </c>
      <c r="U792" s="71" t="str">
        <f>IFERROR(__xludf.DUMMYFUNCTION("""COMPUTED_VALUE"""),"https://www.sec.gov/cgi-bin/browse-edgar?CIK=1843783")</f>
        <v>https://www.sec.gov/cgi-bin/browse-edgar?CIK=1843783</v>
      </c>
      <c r="V792" s="72" t="str">
        <f>IFERROR(__xludf.DUMMYFUNCTION("""COMPUTED_VALUE"""),"          Serial Sponsor Top Tier UW ")</f>
        <v>          Serial Sponsor Top Tier UW </v>
      </c>
      <c r="W792" s="73"/>
      <c r="X792" s="74"/>
      <c r="Y792" s="75"/>
      <c r="Z792" s="60"/>
      <c r="AA792" s="60"/>
      <c r="AB792" s="60"/>
      <c r="AC792" s="60"/>
      <c r="AD792" s="73"/>
      <c r="AE792" s="73"/>
      <c r="AF792" s="76"/>
      <c r="AG792" s="60"/>
    </row>
    <row r="793">
      <c r="A793" s="88" t="str">
        <f>IFERROR(__xludf.DUMMYFUNCTION("""COMPUTED_VALUE"""),"XXXX")</f>
        <v>XXXX</v>
      </c>
      <c r="B793" s="55" t="str">
        <f>IFERROR(__xludf.DUMMYFUNCTION("""COMPUTED_VALUE"""),"Bannix Acquisition Corp.")</f>
        <v>Bannix Acquisition Corp.</v>
      </c>
      <c r="C793" s="56" t="str">
        <f>IFERROR(__xludf.DUMMYFUNCTION("""COMPUTED_VALUE"""),"Pre IPO")</f>
        <v>Pre IPO</v>
      </c>
      <c r="D793" s="77" t="str">
        <f>IFERROR(__xludf.DUMMYFUNCTION("""COMPUTED_VALUE"""),"Enterprise Software")</f>
        <v>Enterprise Software</v>
      </c>
      <c r="E793" s="58"/>
      <c r="F793" s="59"/>
      <c r="G793" s="60">
        <f>IFERROR(__xludf.DUMMYFUNCTION("""COMPUTED_VALUE"""),1.0E8)</f>
        <v>100000000</v>
      </c>
      <c r="H793" s="60" t="str">
        <f>IFERROR(__xludf.DUMMYFUNCTION("""COMPUTED_VALUE""")," ")</f>
        <v> </v>
      </c>
      <c r="I793" s="66" t="str">
        <f>IFERROR(__xludf.DUMMYFUNCTION("""COMPUTED_VALUE""")," ")</f>
        <v> </v>
      </c>
      <c r="J793" s="62" t="str">
        <f>IFERROR(__xludf.DUMMYFUNCTION("""COMPUTED_VALUE""")," ")</f>
        <v> </v>
      </c>
      <c r="K793" s="59" t="str">
        <f>IFERROR(__xludf.DUMMYFUNCTION("""COMPUTED_VALUE""")," ")</f>
        <v> </v>
      </c>
      <c r="L793" s="87" t="str">
        <f>IFERROR(__xludf.DUMMYFUNCTION("""COMPUTED_VALUE""")," ")</f>
        <v> </v>
      </c>
      <c r="M793" s="64" t="str">
        <f>IFERROR(__xludf.DUMMYFUNCTION("""COMPUTED_VALUE"""),"U: [1/2 W]; W: [1:1, $11.5]")</f>
        <v>U: [1/2 W]; W: [1:1, $11.5]</v>
      </c>
      <c r="N793" s="65" t="str">
        <f>IFERROR(__xludf.DUMMYFUNCTION("""COMPUTED_VALUE"""),"")</f>
        <v/>
      </c>
      <c r="O793" s="66" t="str">
        <f>IFERROR(__xludf.DUMMYFUNCTION("""COMPUTED_VALUE"""),"")</f>
        <v/>
      </c>
      <c r="P793" s="67"/>
      <c r="Q793" s="68">
        <f>IFERROR(__xludf.DUMMYFUNCTION("""COMPUTED_VALUE"""),100.0)</f>
        <v>100</v>
      </c>
      <c r="R793" s="69" t="str">
        <f>IFERROR(__xludf.DUMMYFUNCTION("""COMPUTED_VALUE"""),"I-Bankers Securities, Inc.")</f>
        <v>I-Bankers Securities, Inc.</v>
      </c>
      <c r="S793" s="64">
        <f>IFERROR(__xludf.DUMMYFUNCTION("""COMPUTED_VALUE"""),45086.0)</f>
        <v>45086</v>
      </c>
      <c r="T793" s="70" t="str">
        <f>IFERROR(__xludf.DUMMYFUNCTION("""COMPUTED_VALUE"""),"")</f>
        <v/>
      </c>
      <c r="U793" s="71" t="str">
        <f>IFERROR(__xludf.DUMMYFUNCTION("""COMPUTED_VALUE"""),"https://www.sec.gov/cgi-bin/browse-edgar?CIK=1845942")</f>
        <v>https://www.sec.gov/cgi-bin/browse-edgar?CIK=1845942</v>
      </c>
      <c r="V793" s="72" t="str">
        <f>IFERROR(__xludf.DUMMYFUNCTION("""COMPUTED_VALUE"""),"            ")</f>
        <v>            </v>
      </c>
      <c r="W793" s="73"/>
      <c r="X793" s="74"/>
      <c r="Y793" s="75"/>
      <c r="Z793" s="60"/>
      <c r="AA793" s="60"/>
      <c r="AB793" s="60"/>
      <c r="AC793" s="60"/>
      <c r="AD793" s="73"/>
      <c r="AE793" s="73"/>
      <c r="AF793" s="76"/>
      <c r="AG793" s="60"/>
    </row>
    <row r="794">
      <c r="A794" s="88" t="str">
        <f>IFERROR(__xludf.DUMMYFUNCTION("""COMPUTED_VALUE"""),"XXXX")</f>
        <v>XXXX</v>
      </c>
      <c r="B794" s="55" t="str">
        <f>IFERROR(__xludf.DUMMYFUNCTION("""COMPUTED_VALUE"""),"Elliott Opportunity I Corp.")</f>
        <v>Elliott Opportunity I Corp.</v>
      </c>
      <c r="C794" s="56" t="str">
        <f>IFERROR(__xludf.DUMMYFUNCTION("""COMPUTED_VALUE"""),"Pre IPO")</f>
        <v>Pre IPO</v>
      </c>
      <c r="D794" s="57" t="str">
        <f>IFERROR(__xludf.DUMMYFUNCTION("""COMPUTED_VALUE"""),"Tech")</f>
        <v>Tech</v>
      </c>
      <c r="E794" s="58"/>
      <c r="F794" s="59" t="str">
        <f>IFERROR(__xludf.DUMMYFUNCTION("""COMPUTED_VALUE"""),"Gordon Singer (Managing Partner; Elliott Investment Management)")</f>
        <v>Gordon Singer (Managing Partner; Elliott Investment Management)</v>
      </c>
      <c r="G794" s="60">
        <f>IFERROR(__xludf.DUMMYFUNCTION("""COMPUTED_VALUE"""),1.0E9)</f>
        <v>1000000000</v>
      </c>
      <c r="H794" s="60" t="str">
        <f>IFERROR(__xludf.DUMMYFUNCTION("""COMPUTED_VALUE""")," ")</f>
        <v> </v>
      </c>
      <c r="I794" s="66" t="str">
        <f>IFERROR(__xludf.DUMMYFUNCTION("""COMPUTED_VALUE""")," ")</f>
        <v> </v>
      </c>
      <c r="J794" s="62" t="str">
        <f>IFERROR(__xludf.DUMMYFUNCTION("""COMPUTED_VALUE""")," ")</f>
        <v> </v>
      </c>
      <c r="K794" s="59" t="str">
        <f>IFERROR(__xludf.DUMMYFUNCTION("""COMPUTED_VALUE""")," ")</f>
        <v> </v>
      </c>
      <c r="L794" s="87" t="str">
        <f>IFERROR(__xludf.DUMMYFUNCTION("""COMPUTED_VALUE""")," ")</f>
        <v> </v>
      </c>
      <c r="M794" s="64" t="str">
        <f>IFERROR(__xludf.DUMMYFUNCTION("""COMPUTED_VALUE"""),"U: [1/4 W]; W: [1:1, $11.5]")</f>
        <v>U: [1/4 W]; W: [1:1, $11.5]</v>
      </c>
      <c r="N794" s="65" t="str">
        <f>IFERROR(__xludf.DUMMYFUNCTION("""COMPUTED_VALUE"""),"")</f>
        <v/>
      </c>
      <c r="O794" s="66" t="str">
        <f>IFERROR(__xludf.DUMMYFUNCTION("""COMPUTED_VALUE"""),"")</f>
        <v/>
      </c>
      <c r="P794" s="67"/>
      <c r="Q794" s="68">
        <f>IFERROR(__xludf.DUMMYFUNCTION("""COMPUTED_VALUE"""),1000.0)</f>
        <v>1000</v>
      </c>
      <c r="R794" s="69" t="str">
        <f>IFERROR(__xludf.DUMMYFUNCTION("""COMPUTED_VALUE"""),"Credit Suisse, Citigroup, UBS Investment Bank")</f>
        <v>Credit Suisse, Citigroup, UBS Investment Bank</v>
      </c>
      <c r="S794" s="64">
        <f>IFERROR(__xludf.DUMMYFUNCTION("""COMPUTED_VALUE"""),45086.0)</f>
        <v>45086</v>
      </c>
      <c r="T794" s="70" t="str">
        <f>IFERROR(__xludf.DUMMYFUNCTION("""COMPUTED_VALUE"""),"")</f>
        <v/>
      </c>
      <c r="U794" s="71" t="str">
        <f>IFERROR(__xludf.DUMMYFUNCTION("""COMPUTED_VALUE"""),"https://www.sec.gov/cgi-bin/browse-edgar?CIK=1843917")</f>
        <v>https://www.sec.gov/cgi-bin/browse-edgar?CIK=1843917</v>
      </c>
      <c r="V794" s="72" t="str">
        <f>IFERROR(__xludf.DUMMYFUNCTION("""COMPUTED_VALUE"""),"   $500M+ Trust     Well-known Sponsor  Top Tier UW ")</f>
        <v>   $500M+ Trust     Well-known Sponsor  Top Tier UW </v>
      </c>
      <c r="W794" s="73"/>
      <c r="X794" s="74"/>
      <c r="Y794" s="75"/>
      <c r="Z794" s="60"/>
      <c r="AA794" s="60"/>
      <c r="AB794" s="60"/>
      <c r="AC794" s="60"/>
      <c r="AD794" s="73"/>
      <c r="AE794" s="73"/>
      <c r="AF794" s="76"/>
      <c r="AG794" s="60"/>
    </row>
    <row r="795">
      <c r="A795" s="88" t="str">
        <f>IFERROR(__xludf.DUMMYFUNCTION("""COMPUTED_VALUE"""),"XXXX")</f>
        <v>XXXX</v>
      </c>
      <c r="B795" s="55" t="str">
        <f>IFERROR(__xludf.DUMMYFUNCTION("""COMPUTED_VALUE"""),"Elliott Opportunity II Corp.")</f>
        <v>Elliott Opportunity II Corp.</v>
      </c>
      <c r="C795" s="56" t="str">
        <f>IFERROR(__xludf.DUMMYFUNCTION("""COMPUTED_VALUE"""),"Pre IPO")</f>
        <v>Pre IPO</v>
      </c>
      <c r="D795" s="57" t="str">
        <f>IFERROR(__xludf.DUMMYFUNCTION("""COMPUTED_VALUE"""),"Tech")</f>
        <v>Tech</v>
      </c>
      <c r="E795" s="58"/>
      <c r="F795" s="59" t="str">
        <f>IFERROR(__xludf.DUMMYFUNCTION("""COMPUTED_VALUE"""),"Gordon Singer (Managing Partner; Elliott Investment Management)")</f>
        <v>Gordon Singer (Managing Partner; Elliott Investment Management)</v>
      </c>
      <c r="G795" s="60">
        <f>IFERROR(__xludf.DUMMYFUNCTION("""COMPUTED_VALUE"""),5.0E8)</f>
        <v>500000000</v>
      </c>
      <c r="H795" s="60" t="str">
        <f>IFERROR(__xludf.DUMMYFUNCTION("""COMPUTED_VALUE""")," ")</f>
        <v> </v>
      </c>
      <c r="I795" s="66" t="str">
        <f>IFERROR(__xludf.DUMMYFUNCTION("""COMPUTED_VALUE""")," ")</f>
        <v> </v>
      </c>
      <c r="J795" s="62" t="str">
        <f>IFERROR(__xludf.DUMMYFUNCTION("""COMPUTED_VALUE""")," ")</f>
        <v> </v>
      </c>
      <c r="K795" s="59" t="str">
        <f>IFERROR(__xludf.DUMMYFUNCTION("""COMPUTED_VALUE""")," ")</f>
        <v> </v>
      </c>
      <c r="L795" s="87" t="str">
        <f>IFERROR(__xludf.DUMMYFUNCTION("""COMPUTED_VALUE""")," ")</f>
        <v> </v>
      </c>
      <c r="M795" s="64" t="str">
        <f>IFERROR(__xludf.DUMMYFUNCTION("""COMPUTED_VALUE"""),"U: [1/4 W]; W: [1:1, $11.5]")</f>
        <v>U: [1/4 W]; W: [1:1, $11.5]</v>
      </c>
      <c r="N795" s="65" t="str">
        <f>IFERROR(__xludf.DUMMYFUNCTION("""COMPUTED_VALUE"""),"")</f>
        <v/>
      </c>
      <c r="O795" s="66" t="str">
        <f>IFERROR(__xludf.DUMMYFUNCTION("""COMPUTED_VALUE"""),"")</f>
        <v/>
      </c>
      <c r="P795" s="67"/>
      <c r="Q795" s="68">
        <f>IFERROR(__xludf.DUMMYFUNCTION("""COMPUTED_VALUE"""),500.0)</f>
        <v>500</v>
      </c>
      <c r="R795" s="69" t="str">
        <f>IFERROR(__xludf.DUMMYFUNCTION("""COMPUTED_VALUE"""),"Credit Suisse, Citigroup, UBS Investment Bank")</f>
        <v>Credit Suisse, Citigroup, UBS Investment Bank</v>
      </c>
      <c r="S795" s="64">
        <f>IFERROR(__xludf.DUMMYFUNCTION("""COMPUTED_VALUE"""),45086.0)</f>
        <v>45086</v>
      </c>
      <c r="T795" s="70" t="str">
        <f>IFERROR(__xludf.DUMMYFUNCTION("""COMPUTED_VALUE"""),"")</f>
        <v/>
      </c>
      <c r="U795" s="71" t="str">
        <f>IFERROR(__xludf.DUMMYFUNCTION("""COMPUTED_VALUE"""),"https://www.sec.gov/cgi-bin/browse-edgar?CIK=1843862")</f>
        <v>https://www.sec.gov/cgi-bin/browse-edgar?CIK=1843862</v>
      </c>
      <c r="V795" s="72" t="str">
        <f>IFERROR(__xludf.DUMMYFUNCTION("""COMPUTED_VALUE"""),"   $500M+ Trust     Well-known Sponsor  Top Tier UW ")</f>
        <v>   $500M+ Trust     Well-known Sponsor  Top Tier UW </v>
      </c>
      <c r="W795" s="73"/>
      <c r="X795" s="74"/>
      <c r="Y795" s="75"/>
      <c r="Z795" s="60"/>
      <c r="AA795" s="60"/>
      <c r="AB795" s="60"/>
      <c r="AC795" s="60"/>
      <c r="AD795" s="73"/>
      <c r="AE795" s="73"/>
      <c r="AF795" s="76"/>
      <c r="AG795" s="60"/>
    </row>
    <row r="796">
      <c r="A796" s="88" t="str">
        <f>IFERROR(__xludf.DUMMYFUNCTION("""COMPUTED_VALUE"""),"XXXX")</f>
        <v>XXXX</v>
      </c>
      <c r="B796" s="55" t="str">
        <f>IFERROR(__xludf.DUMMYFUNCTION("""COMPUTED_VALUE"""),"Aspirational Consumer Lifestyle Corp. II")</f>
        <v>Aspirational Consumer Lifestyle Corp. II</v>
      </c>
      <c r="C796" s="56" t="str">
        <f>IFERROR(__xludf.DUMMYFUNCTION("""COMPUTED_VALUE"""),"Pre IPO")</f>
        <v>Pre IPO</v>
      </c>
      <c r="D796" s="57" t="str">
        <f>IFERROR(__xludf.DUMMYFUNCTION("""COMPUTED_VALUE"""),"Consumer, Premium brands that offer an aspirational lifestyle experience")</f>
        <v>Consumer, Premium brands that offer an aspirational lifestyle experience</v>
      </c>
      <c r="E796" s="58"/>
      <c r="F796" s="59" t="str">
        <f>IFERROR(__xludf.DUMMYFUNCTION("""COMPUTED_VALUE"""),"Ravi Thakran (South Asia Group Chairman of LVMH, Chairman L Catterton Asia)")</f>
        <v>Ravi Thakran (South Asia Group Chairman of LVMH, Chairman L Catterton Asia)</v>
      </c>
      <c r="G796" s="60">
        <f>IFERROR(__xludf.DUMMYFUNCTION("""COMPUTED_VALUE"""),3.0E8)</f>
        <v>300000000</v>
      </c>
      <c r="H796" s="60" t="str">
        <f>IFERROR(__xludf.DUMMYFUNCTION("""COMPUTED_VALUE""")," ")</f>
        <v> </v>
      </c>
      <c r="I796" s="66" t="str">
        <f>IFERROR(__xludf.DUMMYFUNCTION("""COMPUTED_VALUE""")," ")</f>
        <v> </v>
      </c>
      <c r="J796" s="62" t="str">
        <f>IFERROR(__xludf.DUMMYFUNCTION("""COMPUTED_VALUE""")," ")</f>
        <v> </v>
      </c>
      <c r="K796" s="59" t="str">
        <f>IFERROR(__xludf.DUMMYFUNCTION("""COMPUTED_VALUE""")," ")</f>
        <v> </v>
      </c>
      <c r="L796" s="87" t="str">
        <f>IFERROR(__xludf.DUMMYFUNCTION("""COMPUTED_VALUE""")," ")</f>
        <v> </v>
      </c>
      <c r="M796" s="64" t="str">
        <f>IFERROR(__xludf.DUMMYFUNCTION("""COMPUTED_VALUE"""),"U: [1/3 W]; W: [1:1, $11.5]")</f>
        <v>U: [1/3 W]; W: [1:1, $11.5]</v>
      </c>
      <c r="N796" s="65" t="str">
        <f>IFERROR(__xludf.DUMMYFUNCTION("""COMPUTED_VALUE"""),"")</f>
        <v/>
      </c>
      <c r="O796" s="66">
        <f>IFERROR(__xludf.DUMMYFUNCTION("""COMPUTED_VALUE"""),0.0)</f>
        <v>0</v>
      </c>
      <c r="P796" s="67"/>
      <c r="Q796" s="68">
        <f>IFERROR(__xludf.DUMMYFUNCTION("""COMPUTED_VALUE"""),300.0)</f>
        <v>300</v>
      </c>
      <c r="R796" s="69" t="str">
        <f>IFERROR(__xludf.DUMMYFUNCTION("""COMPUTED_VALUE"""),"Credit Suisse")</f>
        <v>Credit Suisse</v>
      </c>
      <c r="S796" s="64">
        <f>IFERROR(__xludf.DUMMYFUNCTION("""COMPUTED_VALUE"""),45086.0)</f>
        <v>45086</v>
      </c>
      <c r="T796" s="70" t="str">
        <f>IFERROR(__xludf.DUMMYFUNCTION("""COMPUTED_VALUE"""),"")</f>
        <v/>
      </c>
      <c r="U796" s="71" t="str">
        <f>IFERROR(__xludf.DUMMYFUNCTION("""COMPUTED_VALUE"""),"https://www.sec.gov/cgi-bin/browse-edgar?CIK=1846459")</f>
        <v>https://www.sec.gov/cgi-bin/browse-edgar?CIK=1846459</v>
      </c>
      <c r="V796" s="72" t="str">
        <f>IFERROR(__xludf.DUMMYFUNCTION("""COMPUTED_VALUE"""),"            ")</f>
        <v>            </v>
      </c>
      <c r="W796" s="73"/>
      <c r="X796" s="74"/>
      <c r="Y796" s="75"/>
      <c r="Z796" s="60"/>
      <c r="AA796" s="60"/>
      <c r="AB796" s="60"/>
      <c r="AC796" s="60"/>
      <c r="AD796" s="73"/>
      <c r="AE796" s="73"/>
      <c r="AF796" s="76"/>
      <c r="AG796" s="60"/>
    </row>
    <row r="797">
      <c r="A797" s="88" t="str">
        <f>IFERROR(__xludf.DUMMYFUNCTION("""COMPUTED_VALUE"""),"XXXX")</f>
        <v>XXXX</v>
      </c>
      <c r="B797" s="55" t="str">
        <f>IFERROR(__xludf.DUMMYFUNCTION("""COMPUTED_VALUE"""),"Leo Holdings IV Corp")</f>
        <v>Leo Holdings IV Corp</v>
      </c>
      <c r="C797" s="56" t="str">
        <f>IFERROR(__xludf.DUMMYFUNCTION("""COMPUTED_VALUE"""),"Pre IPO")</f>
        <v>Pre IPO</v>
      </c>
      <c r="D797" s="57" t="str">
        <f>IFERROR(__xludf.DUMMYFUNCTION("""COMPUTED_VALUE"""),"Consumer")</f>
        <v>Consumer</v>
      </c>
      <c r="E797" s="58"/>
      <c r="F797" s="59" t="str">
        <f>IFERROR(__xludf.DUMMYFUNCTION("""COMPUTED_VALUE"""),"Ed Forst (Former CEO of Cushman &amp; Wakefield, Former Co-CEO of Goldman Sachs Asset Management, and Former CEO of Realty Shares), Lyndon Lea (Founder &amp; Managing Partner of Lion Capital), Lori Bush (Former CEO, Rodan + Fields)")</f>
        <v>Ed Forst (Former CEO of Cushman &amp; Wakefield, Former Co-CEO of Goldman Sachs Asset Management, and Former CEO of Realty Shares), Lyndon Lea (Founder &amp; Managing Partner of Lion Capital), Lori Bush (Former CEO, Rodan + Fields)</v>
      </c>
      <c r="G797" s="60">
        <f>IFERROR(__xludf.DUMMYFUNCTION("""COMPUTED_VALUE"""),3.0E8)</f>
        <v>300000000</v>
      </c>
      <c r="H797" s="60" t="str">
        <f>IFERROR(__xludf.DUMMYFUNCTION("""COMPUTED_VALUE""")," ")</f>
        <v> </v>
      </c>
      <c r="I797" s="66" t="str">
        <f>IFERROR(__xludf.DUMMYFUNCTION("""COMPUTED_VALUE""")," ")</f>
        <v> </v>
      </c>
      <c r="J797" s="62" t="str">
        <f>IFERROR(__xludf.DUMMYFUNCTION("""COMPUTED_VALUE""")," ")</f>
        <v> </v>
      </c>
      <c r="K797" s="59" t="str">
        <f>IFERROR(__xludf.DUMMYFUNCTION("""COMPUTED_VALUE""")," ")</f>
        <v> </v>
      </c>
      <c r="L797" s="87" t="str">
        <f>IFERROR(__xludf.DUMMYFUNCTION("""COMPUTED_VALUE""")," ")</f>
        <v> </v>
      </c>
      <c r="M797" s="64" t="str">
        <f>IFERROR(__xludf.DUMMYFUNCTION("""COMPUTED_VALUE"""),"U: [1/5 W]; W: [1:1, $11.5]")</f>
        <v>U: [1/5 W]; W: [1:1, $11.5]</v>
      </c>
      <c r="N797" s="65" t="str">
        <f>IFERROR(__xludf.DUMMYFUNCTION("""COMPUTED_VALUE"""),"")</f>
        <v/>
      </c>
      <c r="O797" s="66">
        <f>IFERROR(__xludf.DUMMYFUNCTION("""COMPUTED_VALUE"""),0.0)</f>
        <v>0</v>
      </c>
      <c r="P797" s="67"/>
      <c r="Q797" s="68">
        <f>IFERROR(__xludf.DUMMYFUNCTION("""COMPUTED_VALUE"""),300.0)</f>
        <v>300</v>
      </c>
      <c r="R797" s="69" t="str">
        <f>IFERROR(__xludf.DUMMYFUNCTION("""COMPUTED_VALUE"""),"Deutsche Bank Securities, Credit Suisse")</f>
        <v>Deutsche Bank Securities, Credit Suisse</v>
      </c>
      <c r="S797" s="64">
        <f>IFERROR(__xludf.DUMMYFUNCTION("""COMPUTED_VALUE"""),45086.0)</f>
        <v>45086</v>
      </c>
      <c r="T797" s="70" t="str">
        <f>IFERROR(__xludf.DUMMYFUNCTION("""COMPUTED_VALUE"""),"")</f>
        <v/>
      </c>
      <c r="U797" s="71" t="str">
        <f>IFERROR(__xludf.DUMMYFUNCTION("""COMPUTED_VALUE"""),"https://www.sec.gov/cgi-bin/browse-edgar?CIK=1847197")</f>
        <v>https://www.sec.gov/cgi-bin/browse-edgar?CIK=1847197</v>
      </c>
      <c r="V797" s="72" t="str">
        <f>IFERROR(__xludf.DUMMYFUNCTION("""COMPUTED_VALUE"""),"         Well-known Sponsor Serial Sponsor  ")</f>
        <v>         Well-known Sponsor Serial Sponsor  </v>
      </c>
      <c r="W797" s="73"/>
      <c r="X797" s="74"/>
      <c r="Y797" s="75"/>
      <c r="Z797" s="60"/>
      <c r="AA797" s="60"/>
      <c r="AB797" s="60"/>
      <c r="AC797" s="60"/>
      <c r="AD797" s="73"/>
      <c r="AE797" s="73"/>
      <c r="AF797" s="76"/>
      <c r="AG797" s="60"/>
    </row>
    <row r="798">
      <c r="A798" s="88" t="str">
        <f>IFERROR(__xludf.DUMMYFUNCTION("""COMPUTED_VALUE"""),"XXXX")</f>
        <v>XXXX</v>
      </c>
      <c r="B798" s="55" t="str">
        <f>IFERROR(__xludf.DUMMYFUNCTION("""COMPUTED_VALUE"""),"INSU Acquisition Corp. IV")</f>
        <v>INSU Acquisition Corp. IV</v>
      </c>
      <c r="C798" s="56" t="str">
        <f>IFERROR(__xludf.DUMMYFUNCTION("""COMPUTED_VALUE"""),"Pre IPO")</f>
        <v>Pre IPO</v>
      </c>
      <c r="D798" s="77" t="str">
        <f>IFERROR(__xludf.DUMMYFUNCTION("""COMPUTED_VALUE"""),"Insurance, InsurTech")</f>
        <v>Insurance, InsurTech</v>
      </c>
      <c r="E798" s="58"/>
      <c r="F798" s="59" t="str">
        <f>IFERROR(__xludf.DUMMYFUNCTION("""COMPUTED_VALUE"""),"Daniel Cohen (Chairman of Cohen &amp; Company)")</f>
        <v>Daniel Cohen (Chairman of Cohen &amp; Company)</v>
      </c>
      <c r="G798" s="60">
        <f>IFERROR(__xludf.DUMMYFUNCTION("""COMPUTED_VALUE"""),2.2E8)</f>
        <v>220000000</v>
      </c>
      <c r="H798" s="60" t="str">
        <f>IFERROR(__xludf.DUMMYFUNCTION("""COMPUTED_VALUE""")," ")</f>
        <v> </v>
      </c>
      <c r="I798" s="66" t="str">
        <f>IFERROR(__xludf.DUMMYFUNCTION("""COMPUTED_VALUE""")," ")</f>
        <v> </v>
      </c>
      <c r="J798" s="62" t="str">
        <f>IFERROR(__xludf.DUMMYFUNCTION("""COMPUTED_VALUE""")," ")</f>
        <v> </v>
      </c>
      <c r="K798" s="59" t="str">
        <f>IFERROR(__xludf.DUMMYFUNCTION("""COMPUTED_VALUE""")," ")</f>
        <v> </v>
      </c>
      <c r="L798" s="87" t="str">
        <f>IFERROR(__xludf.DUMMYFUNCTION("""COMPUTED_VALUE""")," ")</f>
        <v> </v>
      </c>
      <c r="M798" s="64" t="str">
        <f>IFERROR(__xludf.DUMMYFUNCTION("""COMPUTED_VALUE"""),"U: [1/4 W]; W: [1:1, $11.5]")</f>
        <v>U: [1/4 W]; W: [1:1, $11.5]</v>
      </c>
      <c r="N798" s="65" t="str">
        <f>IFERROR(__xludf.DUMMYFUNCTION("""COMPUTED_VALUE"""),"")</f>
        <v/>
      </c>
      <c r="O798" s="66">
        <f>IFERROR(__xludf.DUMMYFUNCTION("""COMPUTED_VALUE"""),0.0)</f>
        <v>0</v>
      </c>
      <c r="P798" s="67"/>
      <c r="Q798" s="68">
        <f>IFERROR(__xludf.DUMMYFUNCTION("""COMPUTED_VALUE"""),220.0)</f>
        <v>220</v>
      </c>
      <c r="R798" s="69" t="str">
        <f>IFERROR(__xludf.DUMMYFUNCTION("""COMPUTED_VALUE"""),"Cantor")</f>
        <v>Cantor</v>
      </c>
      <c r="S798" s="64">
        <f>IFERROR(__xludf.DUMMYFUNCTION("""COMPUTED_VALUE"""),45086.0)</f>
        <v>45086</v>
      </c>
      <c r="T798" s="70" t="str">
        <f>IFERROR(__xludf.DUMMYFUNCTION("""COMPUTED_VALUE"""),"")</f>
        <v/>
      </c>
      <c r="U798" s="71" t="str">
        <f>IFERROR(__xludf.DUMMYFUNCTION("""COMPUTED_VALUE"""),"https://www.sec.gov/cgi-bin/browse-edgar?CIK=1843803")</f>
        <v>https://www.sec.gov/cgi-bin/browse-edgar?CIK=1843803</v>
      </c>
      <c r="V798" s="72" t="str">
        <f>IFERROR(__xludf.DUMMYFUNCTION("""COMPUTED_VALUE"""),"          Serial Sponsor  ")</f>
        <v>          Serial Sponsor  </v>
      </c>
      <c r="W798" s="73"/>
      <c r="X798" s="74"/>
      <c r="Y798" s="75"/>
      <c r="Z798" s="60"/>
      <c r="AA798" s="60"/>
      <c r="AB798" s="60"/>
      <c r="AC798" s="60"/>
      <c r="AD798" s="73"/>
      <c r="AE798" s="73"/>
      <c r="AF798" s="76"/>
      <c r="AG798" s="60"/>
    </row>
    <row r="799">
      <c r="A799" s="88" t="str">
        <f>IFERROR(__xludf.DUMMYFUNCTION("""COMPUTED_VALUE"""),"XXXX")</f>
        <v>XXXX</v>
      </c>
      <c r="B799" s="55" t="str">
        <f>IFERROR(__xludf.DUMMYFUNCTION("""COMPUTED_VALUE"""),"Foresite Life Sciences Corp.")</f>
        <v>Foresite Life Sciences Corp.</v>
      </c>
      <c r="C799" s="56" t="str">
        <f>IFERROR(__xludf.DUMMYFUNCTION("""COMPUTED_VALUE"""),"Pre IPO")</f>
        <v>Pre IPO</v>
      </c>
      <c r="D799" s="77" t="str">
        <f>IFERROR(__xludf.DUMMYFUNCTION("""COMPUTED_VALUE"""),"Biotech, Life Sciences, Healthcare")</f>
        <v>Biotech, Life Sciences, Healthcare</v>
      </c>
      <c r="E799" s="58"/>
      <c r="F799" s="59" t="str">
        <f>IFERROR(__xludf.DUMMYFUNCTION("""COMPUTED_VALUE"""),"Jim Tananbaum (Founder &amp; CEO of Foresite Capital)")</f>
        <v>Jim Tananbaum (Founder &amp; CEO of Foresite Capital)</v>
      </c>
      <c r="G799" s="60">
        <f>IFERROR(__xludf.DUMMYFUNCTION("""COMPUTED_VALUE"""),2.5E8)</f>
        <v>250000000</v>
      </c>
      <c r="H799" s="60" t="str">
        <f>IFERROR(__xludf.DUMMYFUNCTION("""COMPUTED_VALUE""")," ")</f>
        <v> </v>
      </c>
      <c r="I799" s="66" t="str">
        <f>IFERROR(__xludf.DUMMYFUNCTION("""COMPUTED_VALUE""")," ")</f>
        <v> </v>
      </c>
      <c r="J799" s="62" t="str">
        <f>IFERROR(__xludf.DUMMYFUNCTION("""COMPUTED_VALUE""")," ")</f>
        <v> </v>
      </c>
      <c r="K799" s="59" t="str">
        <f>IFERROR(__xludf.DUMMYFUNCTION("""COMPUTED_VALUE""")," ")</f>
        <v> </v>
      </c>
      <c r="L799" s="87" t="str">
        <f>IFERROR(__xludf.DUMMYFUNCTION("""COMPUTED_VALUE""")," ")</f>
        <v> </v>
      </c>
      <c r="M799" s="64" t="str">
        <f>IFERROR(__xludf.DUMMYFUNCTION("""COMPUTED_VALUE"""),"U: [No Units]; W: [No Warrants]")</f>
        <v>U: [No Units]; W: [No Warrants]</v>
      </c>
      <c r="N799" s="65" t="str">
        <f>IFERROR(__xludf.DUMMYFUNCTION("""COMPUTED_VALUE"""),"")</f>
        <v/>
      </c>
      <c r="O799" s="66">
        <f>IFERROR(__xludf.DUMMYFUNCTION("""COMPUTED_VALUE"""),0.0)</f>
        <v>0</v>
      </c>
      <c r="P799" s="67"/>
      <c r="Q799" s="68">
        <f>IFERROR(__xludf.DUMMYFUNCTION("""COMPUTED_VALUE"""),250.0)</f>
        <v>250</v>
      </c>
      <c r="R799" s="69" t="str">
        <f>IFERROR(__xludf.DUMMYFUNCTION("""COMPUTED_VALUE"""),"Jefferies")</f>
        <v>Jefferies</v>
      </c>
      <c r="S799" s="64">
        <f>IFERROR(__xludf.DUMMYFUNCTION("""COMPUTED_VALUE"""),45086.0)</f>
        <v>45086</v>
      </c>
      <c r="T799" s="70" t="str">
        <f>IFERROR(__xludf.DUMMYFUNCTION("""COMPUTED_VALUE"""),"")</f>
        <v/>
      </c>
      <c r="U799" s="71" t="str">
        <f>IFERROR(__xludf.DUMMYFUNCTION("""COMPUTED_VALUE"""),"https://www.sec.gov/cgi-bin/browse-edgar?CIK=1843668")</f>
        <v>https://www.sec.gov/cgi-bin/browse-edgar?CIK=1843668</v>
      </c>
      <c r="V799" s="72" t="str">
        <f>IFERROR(__xludf.DUMMYFUNCTION("""COMPUTED_VALUE"""),"Venture Capital         Well-known Sponsor   ")</f>
        <v>Venture Capital         Well-known Sponsor   </v>
      </c>
      <c r="W799" s="73"/>
      <c r="X799" s="74"/>
      <c r="Y799" s="75"/>
      <c r="Z799" s="60"/>
      <c r="AA799" s="60"/>
      <c r="AB799" s="60"/>
      <c r="AC799" s="60"/>
      <c r="AD799" s="73"/>
      <c r="AE799" s="73"/>
      <c r="AF799" s="76"/>
      <c r="AG799" s="60"/>
    </row>
    <row r="800">
      <c r="A800" s="88" t="str">
        <f>IFERROR(__xludf.DUMMYFUNCTION("""COMPUTED_VALUE"""),"XXXX")</f>
        <v>XXXX</v>
      </c>
      <c r="B800" s="55" t="str">
        <f>IFERROR(__xludf.DUMMYFUNCTION("""COMPUTED_VALUE"""),"Corner Growth Acquisition Corp. 3")</f>
        <v>Corner Growth Acquisition Corp. 3</v>
      </c>
      <c r="C800" s="56" t="str">
        <f>IFERROR(__xludf.DUMMYFUNCTION("""COMPUTED_VALUE"""),"Pre IPO")</f>
        <v>Pre IPO</v>
      </c>
      <c r="D800" s="77" t="str">
        <f>IFERROR(__xludf.DUMMYFUNCTION("""COMPUTED_VALUE"""),"Tech")</f>
        <v>Tech</v>
      </c>
      <c r="E800" s="58"/>
      <c r="F800" s="59" t="str">
        <f>IFERROR(__xludf.DUMMYFUNCTION("""COMPUTED_VALUE"""),"John Cadeddu (General Partner &amp; Managing Director of Corner Ventures), Alexandre Balkanski (CEO of Picarro and Fomer General Partner of Benchmark Capital), Jason Park (CFO of DraftKings)")</f>
        <v>John Cadeddu (General Partner &amp; Managing Director of Corner Ventures), Alexandre Balkanski (CEO of Picarro and Fomer General Partner of Benchmark Capital), Jason Park (CFO of DraftKings)</v>
      </c>
      <c r="G800" s="60">
        <f>IFERROR(__xludf.DUMMYFUNCTION("""COMPUTED_VALUE"""),4.5E8)</f>
        <v>450000000</v>
      </c>
      <c r="H800" s="60" t="str">
        <f>IFERROR(__xludf.DUMMYFUNCTION("""COMPUTED_VALUE""")," ")</f>
        <v> </v>
      </c>
      <c r="I800" s="66" t="str">
        <f>IFERROR(__xludf.DUMMYFUNCTION("""COMPUTED_VALUE""")," ")</f>
        <v> </v>
      </c>
      <c r="J800" s="62" t="str">
        <f>IFERROR(__xludf.DUMMYFUNCTION("""COMPUTED_VALUE""")," ")</f>
        <v> </v>
      </c>
      <c r="K800" s="59" t="str">
        <f>IFERROR(__xludf.DUMMYFUNCTION("""COMPUTED_VALUE""")," ")</f>
        <v> </v>
      </c>
      <c r="L800" s="87" t="str">
        <f>IFERROR(__xludf.DUMMYFUNCTION("""COMPUTED_VALUE""")," ")</f>
        <v> </v>
      </c>
      <c r="M800" s="64" t="str">
        <f>IFERROR(__xludf.DUMMYFUNCTION("""COMPUTED_VALUE"""),"U: [1/4 W]; W: [1:1, $11.5]")</f>
        <v>U: [1/4 W]; W: [1:1, $11.5]</v>
      </c>
      <c r="N800" s="65" t="str">
        <f>IFERROR(__xludf.DUMMYFUNCTION("""COMPUTED_VALUE"""),"")</f>
        <v/>
      </c>
      <c r="O800" s="66">
        <f>IFERROR(__xludf.DUMMYFUNCTION("""COMPUTED_VALUE"""),0.0)</f>
        <v>0</v>
      </c>
      <c r="P800" s="67"/>
      <c r="Q800" s="68">
        <f>IFERROR(__xludf.DUMMYFUNCTION("""COMPUTED_VALUE"""),450.0)</f>
        <v>450</v>
      </c>
      <c r="R800" s="69" t="str">
        <f>IFERROR(__xludf.DUMMYFUNCTION("""COMPUTED_VALUE"""),"Cantor")</f>
        <v>Cantor</v>
      </c>
      <c r="S800" s="64">
        <f>IFERROR(__xludf.DUMMYFUNCTION("""COMPUTED_VALUE"""),45086.0)</f>
        <v>45086</v>
      </c>
      <c r="T800" s="70" t="str">
        <f>IFERROR(__xludf.DUMMYFUNCTION("""COMPUTED_VALUE"""),"")</f>
        <v/>
      </c>
      <c r="U800" s="71" t="str">
        <f>IFERROR(__xludf.DUMMYFUNCTION("""COMPUTED_VALUE"""),"https://www.sec.gov/cgi-bin/browse-edgar?CIK=1847512")</f>
        <v>https://www.sec.gov/cgi-bin/browse-edgar?CIK=1847512</v>
      </c>
      <c r="V800" s="72" t="str">
        <f>IFERROR(__xludf.DUMMYFUNCTION("""COMPUTED_VALUE"""),"Venture Capital            ")</f>
        <v>Venture Capital            </v>
      </c>
      <c r="W800" s="73"/>
      <c r="X800" s="74"/>
      <c r="Y800" s="75"/>
      <c r="Z800" s="60"/>
      <c r="AA800" s="60"/>
      <c r="AB800" s="60"/>
      <c r="AC800" s="60"/>
      <c r="AD800" s="73"/>
      <c r="AE800" s="73"/>
      <c r="AF800" s="76"/>
      <c r="AG800" s="60"/>
    </row>
    <row r="801">
      <c r="A801" s="88" t="str">
        <f>IFERROR(__xludf.DUMMYFUNCTION("""COMPUTED_VALUE"""),"XXXX")</f>
        <v>XXXX</v>
      </c>
      <c r="B801" s="55" t="str">
        <f>IFERROR(__xludf.DUMMYFUNCTION("""COMPUTED_VALUE"""),"BrightSpark Capitol Corp.")</f>
        <v>BrightSpark Capitol Corp.</v>
      </c>
      <c r="C801" s="56" t="str">
        <f>IFERROR(__xludf.DUMMYFUNCTION("""COMPUTED_VALUE"""),"Pre IPO")</f>
        <v>Pre IPO</v>
      </c>
      <c r="D801" s="77" t="str">
        <f>IFERROR(__xludf.DUMMYFUNCTION("""COMPUTED_VALUE"""),"Digital forward consumer (including health, wellness, and beauty)")</f>
        <v>Digital forward consumer (including health, wellness, and beauty)</v>
      </c>
      <c r="E801" s="58"/>
      <c r="F801" s="59" t="str">
        <f>IFERROR(__xludf.DUMMYFUNCTION("""COMPUTED_VALUE"""),"Helena Foulkes (Former CEO &amp; Director of HBC, Director at the Home Depot), Marla Beck (Co-founder &amp; CEO of Bluemercury), Mark Ein (Founder &amp; Owner of MDE Sports and Serial SPAC sponsor: Capitol)")</f>
        <v>Helena Foulkes (Former CEO &amp; Director of HBC, Director at the Home Depot), Marla Beck (Co-founder &amp; CEO of Bluemercury), Mark Ein (Founder &amp; Owner of MDE Sports and Serial SPAC sponsor: Capitol)</v>
      </c>
      <c r="G801" s="60">
        <f>IFERROR(__xludf.DUMMYFUNCTION("""COMPUTED_VALUE"""),2.0E8)</f>
        <v>200000000</v>
      </c>
      <c r="H801" s="60" t="str">
        <f>IFERROR(__xludf.DUMMYFUNCTION("""COMPUTED_VALUE""")," ")</f>
        <v> </v>
      </c>
      <c r="I801" s="66" t="str">
        <f>IFERROR(__xludf.DUMMYFUNCTION("""COMPUTED_VALUE""")," ")</f>
        <v> </v>
      </c>
      <c r="J801" s="62" t="str">
        <f>IFERROR(__xludf.DUMMYFUNCTION("""COMPUTED_VALUE""")," ")</f>
        <v> </v>
      </c>
      <c r="K801" s="59" t="str">
        <f>IFERROR(__xludf.DUMMYFUNCTION("""COMPUTED_VALUE""")," ")</f>
        <v> </v>
      </c>
      <c r="L801" s="87" t="str">
        <f>IFERROR(__xludf.DUMMYFUNCTION("""COMPUTED_VALUE""")," ")</f>
        <v> </v>
      </c>
      <c r="M801" s="64" t="str">
        <f>IFERROR(__xludf.DUMMYFUNCTION("""COMPUTED_VALUE"""),"U: [1/4 W]; W: [1:1, $11.5]")</f>
        <v>U: [1/4 W]; W: [1:1, $11.5]</v>
      </c>
      <c r="N801" s="65" t="str">
        <f>IFERROR(__xludf.DUMMYFUNCTION("""COMPUTED_VALUE"""),"")</f>
        <v/>
      </c>
      <c r="O801" s="66">
        <f>IFERROR(__xludf.DUMMYFUNCTION("""COMPUTED_VALUE"""),0.0)</f>
        <v>0</v>
      </c>
      <c r="P801" s="67"/>
      <c r="Q801" s="68">
        <f>IFERROR(__xludf.DUMMYFUNCTION("""COMPUTED_VALUE"""),200.0)</f>
        <v>200</v>
      </c>
      <c r="R801" s="69" t="str">
        <f>IFERROR(__xludf.DUMMYFUNCTION("""COMPUTED_VALUE"""),"Goldman Sachs &amp; Co. LLC")</f>
        <v>Goldman Sachs &amp; Co. LLC</v>
      </c>
      <c r="S801" s="64">
        <f>IFERROR(__xludf.DUMMYFUNCTION("""COMPUTED_VALUE"""),45086.0)</f>
        <v>45086</v>
      </c>
      <c r="T801" s="70" t="str">
        <f>IFERROR(__xludf.DUMMYFUNCTION("""COMPUTED_VALUE"""),"")</f>
        <v/>
      </c>
      <c r="U801" s="71" t="str">
        <f>IFERROR(__xludf.DUMMYFUNCTION("""COMPUTED_VALUE"""),"https://www.sec.gov/cgi-bin/browse-edgar?CIK=1848274")</f>
        <v>https://www.sec.gov/cgi-bin/browse-edgar?CIK=1848274</v>
      </c>
      <c r="V801" s="72" t="str">
        <f>IFERROR(__xludf.DUMMYFUNCTION("""COMPUTED_VALUE"""),"         Well-known Sponsor  Top Tier UW ")</f>
        <v>         Well-known Sponsor  Top Tier UW </v>
      </c>
      <c r="W801" s="73"/>
      <c r="X801" s="74"/>
      <c r="Y801" s="75"/>
      <c r="Z801" s="60"/>
      <c r="AA801" s="60"/>
      <c r="AB801" s="60"/>
      <c r="AC801" s="60"/>
      <c r="AD801" s="73"/>
      <c r="AE801" s="73"/>
      <c r="AF801" s="76"/>
      <c r="AG801" s="60"/>
    </row>
    <row r="802">
      <c r="A802" s="88" t="str">
        <f>IFERROR(__xludf.DUMMYFUNCTION("""COMPUTED_VALUE"""),"XXXX")</f>
        <v>XXXX</v>
      </c>
      <c r="B802" s="55" t="str">
        <f>IFERROR(__xludf.DUMMYFUNCTION("""COMPUTED_VALUE"""),"Corner Growth Acquisition Corp. 2")</f>
        <v>Corner Growth Acquisition Corp. 2</v>
      </c>
      <c r="C802" s="56" t="str">
        <f>IFERROR(__xludf.DUMMYFUNCTION("""COMPUTED_VALUE"""),"Pre IPO")</f>
        <v>Pre IPO</v>
      </c>
      <c r="D802" s="77" t="str">
        <f>IFERROR(__xludf.DUMMYFUNCTION("""COMPUTED_VALUE"""),"Tech")</f>
        <v>Tech</v>
      </c>
      <c r="E802" s="58"/>
      <c r="F802" s="59" t="str">
        <f>IFERROR(__xludf.DUMMYFUNCTION("""COMPUTED_VALUE"""),"John Cadeddu (General Partner &amp; Managing Director of Corner Ventures), Alexandre Balkanski (CEO of Picarro and Fomer General Partner of Benchmark Capital), Jason Park (CFO of DraftKings)")</f>
        <v>John Cadeddu (General Partner &amp; Managing Director of Corner Ventures), Alexandre Balkanski (CEO of Picarro and Fomer General Partner of Benchmark Capital), Jason Park (CFO of DraftKings)</v>
      </c>
      <c r="G802" s="60">
        <f>IFERROR(__xludf.DUMMYFUNCTION("""COMPUTED_VALUE"""),1.75E8)</f>
        <v>175000000</v>
      </c>
      <c r="H802" s="60" t="str">
        <f>IFERROR(__xludf.DUMMYFUNCTION("""COMPUTED_VALUE""")," ")</f>
        <v> </v>
      </c>
      <c r="I802" s="66" t="str">
        <f>IFERROR(__xludf.DUMMYFUNCTION("""COMPUTED_VALUE""")," ")</f>
        <v> </v>
      </c>
      <c r="J802" s="62" t="str">
        <f>IFERROR(__xludf.DUMMYFUNCTION("""COMPUTED_VALUE""")," ")</f>
        <v> </v>
      </c>
      <c r="K802" s="59" t="str">
        <f>IFERROR(__xludf.DUMMYFUNCTION("""COMPUTED_VALUE""")," ")</f>
        <v> </v>
      </c>
      <c r="L802" s="87" t="str">
        <f>IFERROR(__xludf.DUMMYFUNCTION("""COMPUTED_VALUE""")," ")</f>
        <v> </v>
      </c>
      <c r="M802" s="64" t="str">
        <f>IFERROR(__xludf.DUMMYFUNCTION("""COMPUTED_VALUE"""),"U: [1/4 W]; W: [1:1, $11.5]")</f>
        <v>U: [1/4 W]; W: [1:1, $11.5]</v>
      </c>
      <c r="N802" s="65" t="str">
        <f>IFERROR(__xludf.DUMMYFUNCTION("""COMPUTED_VALUE"""),"")</f>
        <v/>
      </c>
      <c r="O802" s="66">
        <f>IFERROR(__xludf.DUMMYFUNCTION("""COMPUTED_VALUE"""),0.0)</f>
        <v>0</v>
      </c>
      <c r="P802" s="67"/>
      <c r="Q802" s="68">
        <f>IFERROR(__xludf.DUMMYFUNCTION("""COMPUTED_VALUE"""),175.0)</f>
        <v>175</v>
      </c>
      <c r="R802" s="69" t="str">
        <f>IFERROR(__xludf.DUMMYFUNCTION("""COMPUTED_VALUE"""),"Cantor")</f>
        <v>Cantor</v>
      </c>
      <c r="S802" s="64">
        <f>IFERROR(__xludf.DUMMYFUNCTION("""COMPUTED_VALUE"""),45086.0)</f>
        <v>45086</v>
      </c>
      <c r="T802" s="70" t="str">
        <f>IFERROR(__xludf.DUMMYFUNCTION("""COMPUTED_VALUE"""),"")</f>
        <v/>
      </c>
      <c r="U802" s="71" t="str">
        <f>IFERROR(__xludf.DUMMYFUNCTION("""COMPUTED_VALUE"""),"https://www.sec.gov/cgi-bin/browse-edgar?CIK=1847513")</f>
        <v>https://www.sec.gov/cgi-bin/browse-edgar?CIK=1847513</v>
      </c>
      <c r="V802" s="72" t="str">
        <f>IFERROR(__xludf.DUMMYFUNCTION("""COMPUTED_VALUE"""),"Venture Capital            ")</f>
        <v>Venture Capital            </v>
      </c>
      <c r="W802" s="73"/>
      <c r="X802" s="74"/>
      <c r="Y802" s="75"/>
      <c r="Z802" s="60"/>
      <c r="AA802" s="60"/>
      <c r="AB802" s="60"/>
      <c r="AC802" s="60"/>
      <c r="AD802" s="73"/>
      <c r="AE802" s="73"/>
      <c r="AF802" s="76"/>
      <c r="AG802" s="60"/>
    </row>
    <row r="803">
      <c r="A803" s="88" t="str">
        <f>IFERROR(__xludf.DUMMYFUNCTION("""COMPUTED_VALUE"""),"XXXX")</f>
        <v>XXXX</v>
      </c>
      <c r="B803" s="55" t="str">
        <f>IFERROR(__xludf.DUMMYFUNCTION("""COMPUTED_VALUE"""),"G Squared Ascend II, Inc.")</f>
        <v>G Squared Ascend II, Inc.</v>
      </c>
      <c r="C803" s="56" t="str">
        <f>IFERROR(__xludf.DUMMYFUNCTION("""COMPUTED_VALUE"""),"Pre IPO")</f>
        <v>Pre IPO</v>
      </c>
      <c r="D803" s="57" t="str">
        <f>IFERROR(__xludf.DUMMYFUNCTION("""COMPUTED_VALUE"""),"Tech: SaaS, Online Marketplaces, Mobility 2.0/Logistics, Fintech/Insurtech, New Age Media and Sustainability")</f>
        <v>Tech: SaaS, Online Marketplaces, Mobility 2.0/Logistics, Fintech/Insurtech, New Age Media and Sustainability</v>
      </c>
      <c r="E803" s="58"/>
      <c r="F803" s="59" t="str">
        <f>IFERROR(__xludf.DUMMYFUNCTION("""COMPUTED_VALUE"""),"Larry Aschebrook (Founder/MP, G Squared), Thomas Evans (Fmr CEO, Bankrate; Director, Angie’s Home Services, Shutterstock), Kenneth Hahn (CFO, Coursera)")</f>
        <v>Larry Aschebrook (Founder/MP, G Squared), Thomas Evans (Fmr CEO, Bankrate; Director, Angie’s Home Services, Shutterstock), Kenneth Hahn (CFO, Coursera)</v>
      </c>
      <c r="G803" s="60">
        <f>IFERROR(__xludf.DUMMYFUNCTION("""COMPUTED_VALUE"""),1.25E8)</f>
        <v>125000000</v>
      </c>
      <c r="H803" s="60" t="str">
        <f>IFERROR(__xludf.DUMMYFUNCTION("""COMPUTED_VALUE""")," ")</f>
        <v> </v>
      </c>
      <c r="I803" s="66" t="str">
        <f>IFERROR(__xludf.DUMMYFUNCTION("""COMPUTED_VALUE""")," ")</f>
        <v> </v>
      </c>
      <c r="J803" s="62" t="str">
        <f>IFERROR(__xludf.DUMMYFUNCTION("""COMPUTED_VALUE""")," ")</f>
        <v> </v>
      </c>
      <c r="K803" s="59" t="str">
        <f>IFERROR(__xludf.DUMMYFUNCTION("""COMPUTED_VALUE""")," ")</f>
        <v> </v>
      </c>
      <c r="L803" s="87" t="str">
        <f>IFERROR(__xludf.DUMMYFUNCTION("""COMPUTED_VALUE""")," ")</f>
        <v> </v>
      </c>
      <c r="M803" s="64" t="str">
        <f>IFERROR(__xludf.DUMMYFUNCTION("""COMPUTED_VALUE"""),"U: [1/5 W]; W: [1:1, $11.5]")</f>
        <v>U: [1/5 W]; W: [1:1, $11.5]</v>
      </c>
      <c r="N803" s="65" t="str">
        <f>IFERROR(__xludf.DUMMYFUNCTION("""COMPUTED_VALUE"""),"")</f>
        <v/>
      </c>
      <c r="O803" s="66">
        <f>IFERROR(__xludf.DUMMYFUNCTION("""COMPUTED_VALUE"""),0.0)</f>
        <v>0</v>
      </c>
      <c r="P803" s="67"/>
      <c r="Q803" s="68">
        <f>IFERROR(__xludf.DUMMYFUNCTION("""COMPUTED_VALUE"""),125.0)</f>
        <v>125</v>
      </c>
      <c r="R803" s="69" t="str">
        <f>IFERROR(__xludf.DUMMYFUNCTION("""COMPUTED_VALUE"""),"UBS Investment Bank")</f>
        <v>UBS Investment Bank</v>
      </c>
      <c r="S803" s="64">
        <f>IFERROR(__xludf.DUMMYFUNCTION("""COMPUTED_VALUE"""),45086.0)</f>
        <v>45086</v>
      </c>
      <c r="T803" s="70" t="str">
        <f>IFERROR(__xludf.DUMMYFUNCTION("""COMPUTED_VALUE"""),"")</f>
        <v/>
      </c>
      <c r="U803" s="71" t="str">
        <f>IFERROR(__xludf.DUMMYFUNCTION("""COMPUTED_VALUE"""),"https://www.sec.gov/cgi-bin/browse-edgar?CIK=1849280")</f>
        <v>https://www.sec.gov/cgi-bin/browse-edgar?CIK=1849280</v>
      </c>
      <c r="V803" s="72" t="str">
        <f>IFERROR(__xludf.DUMMYFUNCTION("""COMPUTED_VALUE"""),"Venture Capital            ")</f>
        <v>Venture Capital            </v>
      </c>
      <c r="W803" s="73"/>
      <c r="X803" s="74"/>
      <c r="Y803" s="75"/>
      <c r="Z803" s="60"/>
      <c r="AA803" s="60"/>
      <c r="AB803" s="60"/>
      <c r="AC803" s="60"/>
      <c r="AD803" s="73"/>
      <c r="AE803" s="73"/>
      <c r="AF803" s="76"/>
      <c r="AG803" s="60"/>
    </row>
    <row r="804">
      <c r="A804" s="88" t="str">
        <f>IFERROR(__xludf.DUMMYFUNCTION("""COMPUTED_VALUE"""),"XXXX")</f>
        <v>XXXX</v>
      </c>
      <c r="B804" s="55" t="str">
        <f>IFERROR(__xludf.DUMMYFUNCTION("""COMPUTED_VALUE"""),"AdMY Technology Group, Inc.")</f>
        <v>AdMY Technology Group, Inc.</v>
      </c>
      <c r="C804" s="56" t="str">
        <f>IFERROR(__xludf.DUMMYFUNCTION("""COMPUTED_VALUE"""),"Pre IPO")</f>
        <v>Pre IPO</v>
      </c>
      <c r="D804" s="57" t="str">
        <f>IFERROR(__xludf.DUMMYFUNCTION("""COMPUTED_VALUE"""),"Communications, cloud infrastructure (incl. 5G, edge &amp; cloud computing)")</f>
        <v>Communications, cloud infrastructure (incl. 5G, edge &amp; cloud computing)</v>
      </c>
      <c r="E804" s="58"/>
      <c r="F804" s="59" t="str">
        <f>IFERROR(__xludf.DUMMYFUNCTION("""COMPUTED_VALUE"""),"Niccolo de Masi (CEO of DMYT, DMYD), Harry You (Fmr CFO, Oracle and Accenture; Fmr Exec VP of EMC; Founder, GTY Tech Holdings), Darla Anderson (Producer, Netflix; Fmr Producer, Pixar Animation)")</f>
        <v>Niccolo de Masi (CEO of DMYT, DMYD), Harry You (Fmr CFO, Oracle and Accenture; Fmr Exec VP of EMC; Founder, GTY Tech Holdings), Darla Anderson (Producer, Netflix; Fmr Producer, Pixar Animation)</v>
      </c>
      <c r="G804" s="60">
        <f>IFERROR(__xludf.DUMMYFUNCTION("""COMPUTED_VALUE"""),2.5E8)</f>
        <v>250000000</v>
      </c>
      <c r="H804" s="60" t="str">
        <f>IFERROR(__xludf.DUMMYFUNCTION("""COMPUTED_VALUE""")," ")</f>
        <v> </v>
      </c>
      <c r="I804" s="66" t="str">
        <f>IFERROR(__xludf.DUMMYFUNCTION("""COMPUTED_VALUE""")," ")</f>
        <v> </v>
      </c>
      <c r="J804" s="62" t="str">
        <f>IFERROR(__xludf.DUMMYFUNCTION("""COMPUTED_VALUE""")," ")</f>
        <v> </v>
      </c>
      <c r="K804" s="59" t="str">
        <f>IFERROR(__xludf.DUMMYFUNCTION("""COMPUTED_VALUE""")," ")</f>
        <v> </v>
      </c>
      <c r="L804" s="87" t="str">
        <f>IFERROR(__xludf.DUMMYFUNCTION("""COMPUTED_VALUE""")," ")</f>
        <v> </v>
      </c>
      <c r="M804" s="64" t="str">
        <f>IFERROR(__xludf.DUMMYFUNCTION("""COMPUTED_VALUE"""),"U: [1/4 W]; W: [1:1, $11.5]")</f>
        <v>U: [1/4 W]; W: [1:1, $11.5]</v>
      </c>
      <c r="N804" s="65" t="str">
        <f>IFERROR(__xludf.DUMMYFUNCTION("""COMPUTED_VALUE"""),"")</f>
        <v/>
      </c>
      <c r="O804" s="66">
        <f>IFERROR(__xludf.DUMMYFUNCTION("""COMPUTED_VALUE"""),0.0)</f>
        <v>0</v>
      </c>
      <c r="P804" s="67"/>
      <c r="Q804" s="68">
        <f>IFERROR(__xludf.DUMMYFUNCTION("""COMPUTED_VALUE"""),250.0)</f>
        <v>250</v>
      </c>
      <c r="R804" s="69" t="str">
        <f>IFERROR(__xludf.DUMMYFUNCTION("""COMPUTED_VALUE"""),"Goldman Sachs &amp; Co. LLC")</f>
        <v>Goldman Sachs &amp; Co. LLC</v>
      </c>
      <c r="S804" s="64">
        <f>IFERROR(__xludf.DUMMYFUNCTION("""COMPUTED_VALUE"""),45086.0)</f>
        <v>45086</v>
      </c>
      <c r="T804" s="70" t="str">
        <f>IFERROR(__xludf.DUMMYFUNCTION("""COMPUTED_VALUE"""),"")</f>
        <v/>
      </c>
      <c r="U804" s="71" t="str">
        <f>IFERROR(__xludf.DUMMYFUNCTION("""COMPUTED_VALUE"""),"https://www.sec.gov/cgi-bin/browse-edgar?CIK=1843069")</f>
        <v>https://www.sec.gov/cgi-bin/browse-edgar?CIK=1843069</v>
      </c>
      <c r="V804" s="72" t="str">
        <f>IFERROR(__xludf.DUMMYFUNCTION("""COMPUTED_VALUE"""),"          Serial Sponsor Top Tier UW ")</f>
        <v>          Serial Sponsor Top Tier UW </v>
      </c>
      <c r="W804" s="73"/>
      <c r="X804" s="74"/>
      <c r="Y804" s="75"/>
      <c r="Z804" s="60"/>
      <c r="AA804" s="60"/>
      <c r="AB804" s="60"/>
      <c r="AC804" s="60"/>
      <c r="AD804" s="73"/>
      <c r="AE804" s="73"/>
      <c r="AF804" s="76"/>
      <c r="AG804" s="60"/>
    </row>
    <row r="805">
      <c r="A805" s="88" t="str">
        <f>IFERROR(__xludf.DUMMYFUNCTION("""COMPUTED_VALUE"""),"XXXX")</f>
        <v>XXXX</v>
      </c>
      <c r="B805" s="55" t="str">
        <f>IFERROR(__xludf.DUMMYFUNCTION("""COMPUTED_VALUE"""),"FirstMark Acquisition Corp. II")</f>
        <v>FirstMark Acquisition Corp. II</v>
      </c>
      <c r="C805" s="56" t="str">
        <f>IFERROR(__xludf.DUMMYFUNCTION("""COMPUTED_VALUE"""),"Pre IPO")</f>
        <v>Pre IPO</v>
      </c>
      <c r="D805" s="57" t="str">
        <f>IFERROR(__xludf.DUMMYFUNCTION("""COMPUTED_VALUE"""),"Tech")</f>
        <v>Tech</v>
      </c>
      <c r="E805" s="58"/>
      <c r="F805" s="59" t="str">
        <f>IFERROR(__xludf.DUMMYFUNCTION("""COMPUTED_VALUE"""),"Richard Heitzmann (Founder and Partner of FirstMark)")</f>
        <v>Richard Heitzmann (Founder and Partner of FirstMark)</v>
      </c>
      <c r="G805" s="60">
        <f>IFERROR(__xludf.DUMMYFUNCTION("""COMPUTED_VALUE"""),2.0E8)</f>
        <v>200000000</v>
      </c>
      <c r="H805" s="60" t="str">
        <f>IFERROR(__xludf.DUMMYFUNCTION("""COMPUTED_VALUE""")," ")</f>
        <v> </v>
      </c>
      <c r="I805" s="66" t="str">
        <f>IFERROR(__xludf.DUMMYFUNCTION("""COMPUTED_VALUE""")," ")</f>
        <v> </v>
      </c>
      <c r="J805" s="62" t="str">
        <f>IFERROR(__xludf.DUMMYFUNCTION("""COMPUTED_VALUE""")," ")</f>
        <v> </v>
      </c>
      <c r="K805" s="59" t="str">
        <f>IFERROR(__xludf.DUMMYFUNCTION("""COMPUTED_VALUE""")," ")</f>
        <v> </v>
      </c>
      <c r="L805" s="87" t="str">
        <f>IFERROR(__xludf.DUMMYFUNCTION("""COMPUTED_VALUE""")," ")</f>
        <v> </v>
      </c>
      <c r="M805" s="64" t="str">
        <f>IFERROR(__xludf.DUMMYFUNCTION("""COMPUTED_VALUE"""),"U: [1/5 W]; W: [1:1, $11.5]")</f>
        <v>U: [1/5 W]; W: [1:1, $11.5]</v>
      </c>
      <c r="N805" s="65" t="str">
        <f>IFERROR(__xludf.DUMMYFUNCTION("""COMPUTED_VALUE"""),"")</f>
        <v/>
      </c>
      <c r="O805" s="66">
        <f>IFERROR(__xludf.DUMMYFUNCTION("""COMPUTED_VALUE"""),0.0)</f>
        <v>0</v>
      </c>
      <c r="P805" s="67"/>
      <c r="Q805" s="68">
        <f>IFERROR(__xludf.DUMMYFUNCTION("""COMPUTED_VALUE"""),200.0)</f>
        <v>200</v>
      </c>
      <c r="R805" s="69" t="str">
        <f>IFERROR(__xludf.DUMMYFUNCTION("""COMPUTED_VALUE"""),"Credit Suisse")</f>
        <v>Credit Suisse</v>
      </c>
      <c r="S805" s="64">
        <f>IFERROR(__xludf.DUMMYFUNCTION("""COMPUTED_VALUE"""),45086.0)</f>
        <v>45086</v>
      </c>
      <c r="T805" s="70" t="str">
        <f>IFERROR(__xludf.DUMMYFUNCTION("""COMPUTED_VALUE"""),"")</f>
        <v/>
      </c>
      <c r="U805" s="71" t="str">
        <f>IFERROR(__xludf.DUMMYFUNCTION("""COMPUTED_VALUE"""),"https://www.sec.gov/cgi-bin/browse-edgar?CIK=1847208")</f>
        <v>https://www.sec.gov/cgi-bin/browse-edgar?CIK=1847208</v>
      </c>
      <c r="V805" s="72" t="str">
        <f>IFERROR(__xludf.DUMMYFUNCTION("""COMPUTED_VALUE"""),"Venture Capital         Well-known Sponsor   ")</f>
        <v>Venture Capital         Well-known Sponsor   </v>
      </c>
      <c r="W805" s="73"/>
      <c r="X805" s="74"/>
      <c r="Y805" s="75"/>
      <c r="Z805" s="60"/>
      <c r="AA805" s="60"/>
      <c r="AB805" s="60"/>
      <c r="AC805" s="60"/>
      <c r="AD805" s="73"/>
      <c r="AE805" s="73"/>
      <c r="AF805" s="76"/>
      <c r="AG805" s="60"/>
    </row>
    <row r="806">
      <c r="A806" s="88" t="str">
        <f>IFERROR(__xludf.DUMMYFUNCTION("""COMPUTED_VALUE"""),"XXXX")</f>
        <v>XXXX</v>
      </c>
      <c r="B806" s="55" t="str">
        <f>IFERROR(__xludf.DUMMYFUNCTION("""COMPUTED_VALUE"""),"C&amp;W Acquisition Corp.")</f>
        <v>C&amp;W Acquisition Corp.</v>
      </c>
      <c r="C806" s="56" t="str">
        <f>IFERROR(__xludf.DUMMYFUNCTION("""COMPUTED_VALUE"""),"Pre IPO")</f>
        <v>Pre IPO</v>
      </c>
      <c r="D806" s="77" t="str">
        <f>IFERROR(__xludf.DUMMYFUNCTION("""COMPUTED_VALUE"""),"Real Estate, Proptech")</f>
        <v>Real Estate, Proptech</v>
      </c>
      <c r="E806" s="58"/>
      <c r="F806" s="59" t="str">
        <f>IFERROR(__xludf.DUMMYFUNCTION("""COMPUTED_VALUE"""),"Brett White (Exec Chairman/CEO, Cushman &amp; Wakefield)")</f>
        <v>Brett White (Exec Chairman/CEO, Cushman &amp; Wakefield)</v>
      </c>
      <c r="G806" s="60">
        <f>IFERROR(__xludf.DUMMYFUNCTION("""COMPUTED_VALUE"""),2.5E8)</f>
        <v>250000000</v>
      </c>
      <c r="H806" s="60" t="str">
        <f>IFERROR(__xludf.DUMMYFUNCTION("""COMPUTED_VALUE""")," ")</f>
        <v> </v>
      </c>
      <c r="I806" s="66" t="str">
        <f>IFERROR(__xludf.DUMMYFUNCTION("""COMPUTED_VALUE""")," ")</f>
        <v> </v>
      </c>
      <c r="J806" s="62" t="str">
        <f>IFERROR(__xludf.DUMMYFUNCTION("""COMPUTED_VALUE""")," ")</f>
        <v> </v>
      </c>
      <c r="K806" s="59" t="str">
        <f>IFERROR(__xludf.DUMMYFUNCTION("""COMPUTED_VALUE""")," ")</f>
        <v> </v>
      </c>
      <c r="L806" s="87" t="str">
        <f>IFERROR(__xludf.DUMMYFUNCTION("""COMPUTED_VALUE""")," ")</f>
        <v> </v>
      </c>
      <c r="M806" s="64" t="str">
        <f>IFERROR(__xludf.DUMMYFUNCTION("""COMPUTED_VALUE"""),"U: [1/4 W]; W: [1:1, $11.5]")</f>
        <v>U: [1/4 W]; W: [1:1, $11.5]</v>
      </c>
      <c r="N806" s="65" t="str">
        <f>IFERROR(__xludf.DUMMYFUNCTION("""COMPUTED_VALUE"""),"")</f>
        <v/>
      </c>
      <c r="O806" s="66">
        <f>IFERROR(__xludf.DUMMYFUNCTION("""COMPUTED_VALUE"""),0.0)</f>
        <v>0</v>
      </c>
      <c r="P806" s="67"/>
      <c r="Q806" s="68">
        <f>IFERROR(__xludf.DUMMYFUNCTION("""COMPUTED_VALUE"""),250.0)</f>
        <v>250</v>
      </c>
      <c r="R806" s="69" t="str">
        <f>IFERROR(__xludf.DUMMYFUNCTION("""COMPUTED_VALUE"""),"Citigroup, BofA Securities")</f>
        <v>Citigroup, BofA Securities</v>
      </c>
      <c r="S806" s="64">
        <f>IFERROR(__xludf.DUMMYFUNCTION("""COMPUTED_VALUE"""),45086.0)</f>
        <v>45086</v>
      </c>
      <c r="T806" s="70" t="str">
        <f>IFERROR(__xludf.DUMMYFUNCTION("""COMPUTED_VALUE"""),"")</f>
        <v/>
      </c>
      <c r="U806" s="71" t="str">
        <f>IFERROR(__xludf.DUMMYFUNCTION("""COMPUTED_VALUE"""),"https://www.sec.gov/cgi-bin/browse-edgar?CIK=1847530")</f>
        <v>https://www.sec.gov/cgi-bin/browse-edgar?CIK=1847530</v>
      </c>
      <c r="V806" s="72" t="str">
        <f>IFERROR(__xludf.DUMMYFUNCTION("""COMPUTED_VALUE"""),"           Top Tier UW ")</f>
        <v>           Top Tier UW </v>
      </c>
      <c r="W806" s="73"/>
      <c r="X806" s="74"/>
      <c r="Y806" s="75"/>
      <c r="Z806" s="60"/>
      <c r="AA806" s="60"/>
      <c r="AB806" s="60"/>
      <c r="AC806" s="60"/>
      <c r="AD806" s="73"/>
      <c r="AE806" s="73"/>
      <c r="AF806" s="76"/>
      <c r="AG806" s="60"/>
    </row>
    <row r="807">
      <c r="A807" s="88" t="str">
        <f>IFERROR(__xludf.DUMMYFUNCTION("""COMPUTED_VALUE"""),"XXXX")</f>
        <v>XXXX</v>
      </c>
      <c r="B807" s="55" t="str">
        <f>IFERROR(__xludf.DUMMYFUNCTION("""COMPUTED_VALUE"""),"Vector Acquisition Corp III")</f>
        <v>Vector Acquisition Corp III</v>
      </c>
      <c r="C807" s="56" t="str">
        <f>IFERROR(__xludf.DUMMYFUNCTION("""COMPUTED_VALUE"""),"Pre IPO")</f>
        <v>Pre IPO</v>
      </c>
      <c r="D807" s="77" t="str">
        <f>IFERROR(__xludf.DUMMYFUNCTION("""COMPUTED_VALUE"""),"Tech")</f>
        <v>Tech</v>
      </c>
      <c r="E807" s="58"/>
      <c r="F807" s="59" t="str">
        <f>IFERROR(__xludf.DUMMYFUNCTION("""COMPUTED_VALUE"""),"Alex Slusky (Founder of Vector Capital)")</f>
        <v>Alex Slusky (Founder of Vector Capital)</v>
      </c>
      <c r="G807" s="60">
        <f>IFERROR(__xludf.DUMMYFUNCTION("""COMPUTED_VALUE"""),2.5E8)</f>
        <v>250000000</v>
      </c>
      <c r="H807" s="60" t="str">
        <f>IFERROR(__xludf.DUMMYFUNCTION("""COMPUTED_VALUE""")," ")</f>
        <v> </v>
      </c>
      <c r="I807" s="66" t="str">
        <f>IFERROR(__xludf.DUMMYFUNCTION("""COMPUTED_VALUE""")," ")</f>
        <v> </v>
      </c>
      <c r="J807" s="62" t="str">
        <f>IFERROR(__xludf.DUMMYFUNCTION("""COMPUTED_VALUE""")," ")</f>
        <v> </v>
      </c>
      <c r="K807" s="59" t="str">
        <f>IFERROR(__xludf.DUMMYFUNCTION("""COMPUTED_VALUE""")," ")</f>
        <v> </v>
      </c>
      <c r="L807" s="87" t="str">
        <f>IFERROR(__xludf.DUMMYFUNCTION("""COMPUTED_VALUE""")," ")</f>
        <v> </v>
      </c>
      <c r="M807" s="64" t="str">
        <f>IFERROR(__xludf.DUMMYFUNCTION("""COMPUTED_VALUE"""),"U: [No Units]; W: [No Warrants]")</f>
        <v>U: [No Units]; W: [No Warrants]</v>
      </c>
      <c r="N807" s="65" t="str">
        <f>IFERROR(__xludf.DUMMYFUNCTION("""COMPUTED_VALUE"""),"")</f>
        <v/>
      </c>
      <c r="O807" s="66">
        <f>IFERROR(__xludf.DUMMYFUNCTION("""COMPUTED_VALUE"""),0.0)</f>
        <v>0</v>
      </c>
      <c r="P807" s="67"/>
      <c r="Q807" s="68">
        <f>IFERROR(__xludf.DUMMYFUNCTION("""COMPUTED_VALUE"""),250.0)</f>
        <v>250</v>
      </c>
      <c r="R807" s="69"/>
      <c r="S807" s="64">
        <f>IFERROR(__xludf.DUMMYFUNCTION("""COMPUTED_VALUE"""),45086.0)</f>
        <v>45086</v>
      </c>
      <c r="T807" s="70" t="str">
        <f>IFERROR(__xludf.DUMMYFUNCTION("""COMPUTED_VALUE"""),"")</f>
        <v/>
      </c>
      <c r="U807" s="71" t="str">
        <f>IFERROR(__xludf.DUMMYFUNCTION("""COMPUTED_VALUE"""),"https://www.sec.gov/cgi-bin/browse-edgar?CIK=1851169")</f>
        <v>https://www.sec.gov/cgi-bin/browse-edgar?CIK=1851169</v>
      </c>
      <c r="V807" s="72" t="str">
        <f>IFERROR(__xludf.DUMMYFUNCTION("""COMPUTED_VALUE"""),"          Serial Sponsor  ")</f>
        <v>          Serial Sponsor  </v>
      </c>
      <c r="W807" s="73"/>
      <c r="X807" s="74"/>
      <c r="Y807" s="75"/>
      <c r="Z807" s="60"/>
      <c r="AA807" s="60"/>
      <c r="AB807" s="60"/>
      <c r="AC807" s="60"/>
      <c r="AD807" s="73"/>
      <c r="AE807" s="73"/>
      <c r="AF807" s="76"/>
      <c r="AG807" s="60"/>
    </row>
    <row r="808">
      <c r="A808" s="88" t="str">
        <f>IFERROR(__xludf.DUMMYFUNCTION("""COMPUTED_VALUE"""),"XXXX")</f>
        <v>XXXX</v>
      </c>
      <c r="B808" s="55" t="str">
        <f>IFERROR(__xludf.DUMMYFUNCTION("""COMPUTED_VALUE"""),"Brand Velocity Acquisition Corp")</f>
        <v>Brand Velocity Acquisition Corp</v>
      </c>
      <c r="C808" s="56" t="str">
        <f>IFERROR(__xludf.DUMMYFUNCTION("""COMPUTED_VALUE"""),"Pre IPO")</f>
        <v>Pre IPO</v>
      </c>
      <c r="D808" s="77" t="str">
        <f>IFERROR(__xludf.DUMMYFUNCTION("""COMPUTED_VALUE"""),"Branded Consumer")</f>
        <v>Branded Consumer</v>
      </c>
      <c r="E808" s="58"/>
      <c r="F808" s="59" t="str">
        <f>IFERROR(__xludf.DUMMYFUNCTION("""COMPUTED_VALUE"""),"Advisors: Eli Manning (Former NFL Player), LaDainian Tomlinson (Former NFL Player)")</f>
        <v>Advisors: Eli Manning (Former NFL Player), LaDainian Tomlinson (Former NFL Player)</v>
      </c>
      <c r="G808" s="60">
        <f>IFERROR(__xludf.DUMMYFUNCTION("""COMPUTED_VALUE"""),2.0E8)</f>
        <v>200000000</v>
      </c>
      <c r="H808" s="60" t="str">
        <f>IFERROR(__xludf.DUMMYFUNCTION("""COMPUTED_VALUE""")," ")</f>
        <v> </v>
      </c>
      <c r="I808" s="66" t="str">
        <f>IFERROR(__xludf.DUMMYFUNCTION("""COMPUTED_VALUE""")," ")</f>
        <v> </v>
      </c>
      <c r="J808" s="62" t="str">
        <f>IFERROR(__xludf.DUMMYFUNCTION("""COMPUTED_VALUE""")," ")</f>
        <v> </v>
      </c>
      <c r="K808" s="59" t="str">
        <f>IFERROR(__xludf.DUMMYFUNCTION("""COMPUTED_VALUE""")," ")</f>
        <v> </v>
      </c>
      <c r="L808" s="87" t="str">
        <f>IFERROR(__xludf.DUMMYFUNCTION("""COMPUTED_VALUE""")," ")</f>
        <v> </v>
      </c>
      <c r="M808" s="64" t="str">
        <f>IFERROR(__xludf.DUMMYFUNCTION("""COMPUTED_VALUE"""),"U: [1/3 W]; W: [1:1, $11.5]")</f>
        <v>U: [1/3 W]; W: [1:1, $11.5]</v>
      </c>
      <c r="N808" s="65" t="str">
        <f>IFERROR(__xludf.DUMMYFUNCTION("""COMPUTED_VALUE"""),"")</f>
        <v/>
      </c>
      <c r="O808" s="66">
        <f>IFERROR(__xludf.DUMMYFUNCTION("""COMPUTED_VALUE"""),0.0)</f>
        <v>0</v>
      </c>
      <c r="P808" s="67"/>
      <c r="Q808" s="68">
        <f>IFERROR(__xludf.DUMMYFUNCTION("""COMPUTED_VALUE"""),200.0)</f>
        <v>200</v>
      </c>
      <c r="R808" s="69" t="str">
        <f>IFERROR(__xludf.DUMMYFUNCTION("""COMPUTED_VALUE"""),"Credit Suisse")</f>
        <v>Credit Suisse</v>
      </c>
      <c r="S808" s="64">
        <f>IFERROR(__xludf.DUMMYFUNCTION("""COMPUTED_VALUE"""),45086.0)</f>
        <v>45086</v>
      </c>
      <c r="T808" s="70" t="str">
        <f>IFERROR(__xludf.DUMMYFUNCTION("""COMPUTED_VALUE"""),"")</f>
        <v/>
      </c>
      <c r="U808" s="71" t="str">
        <f>IFERROR(__xludf.DUMMYFUNCTION("""COMPUTED_VALUE"""),"https://www.sec.gov/cgi-bin/browse-edgar?CIK=1850321")</f>
        <v>https://www.sec.gov/cgi-bin/browse-edgar?CIK=1850321</v>
      </c>
      <c r="V808" s="72" t="str">
        <f>IFERROR(__xludf.DUMMYFUNCTION("""COMPUTED_VALUE"""),"            ")</f>
        <v>            </v>
      </c>
      <c r="W808" s="73"/>
      <c r="X808" s="74"/>
      <c r="Y808" s="75"/>
      <c r="Z808" s="60"/>
      <c r="AA808" s="60"/>
      <c r="AB808" s="60"/>
      <c r="AC808" s="60"/>
      <c r="AD808" s="73"/>
      <c r="AE808" s="73"/>
      <c r="AF808" s="76"/>
      <c r="AG808" s="60"/>
    </row>
    <row r="809">
      <c r="A809" s="88" t="str">
        <f>IFERROR(__xludf.DUMMYFUNCTION("""COMPUTED_VALUE"""),"XXXX")</f>
        <v>XXXX</v>
      </c>
      <c r="B809" s="55" t="str">
        <f>IFERROR(__xludf.DUMMYFUNCTION("""COMPUTED_VALUE"""),"FirstMark Acquisition Corp. III")</f>
        <v>FirstMark Acquisition Corp. III</v>
      </c>
      <c r="C809" s="56" t="str">
        <f>IFERROR(__xludf.DUMMYFUNCTION("""COMPUTED_VALUE"""),"Pre IPO")</f>
        <v>Pre IPO</v>
      </c>
      <c r="D809" s="57" t="str">
        <f>IFERROR(__xludf.DUMMYFUNCTION("""COMPUTED_VALUE"""),"Tech")</f>
        <v>Tech</v>
      </c>
      <c r="E809" s="58"/>
      <c r="F809" s="59" t="str">
        <f>IFERROR(__xludf.DUMMYFUNCTION("""COMPUTED_VALUE"""),"Richard Heitzmann (Founder, FirstMark)")</f>
        <v>Richard Heitzmann (Founder, FirstMark)</v>
      </c>
      <c r="G809" s="60">
        <f>IFERROR(__xludf.DUMMYFUNCTION("""COMPUTED_VALUE"""),4.0E8)</f>
        <v>400000000</v>
      </c>
      <c r="H809" s="60" t="str">
        <f>IFERROR(__xludf.DUMMYFUNCTION("""COMPUTED_VALUE""")," ")</f>
        <v> </v>
      </c>
      <c r="I809" s="66" t="str">
        <f>IFERROR(__xludf.DUMMYFUNCTION("""COMPUTED_VALUE""")," ")</f>
        <v> </v>
      </c>
      <c r="J809" s="62" t="str">
        <f>IFERROR(__xludf.DUMMYFUNCTION("""COMPUTED_VALUE""")," ")</f>
        <v> </v>
      </c>
      <c r="K809" s="59" t="str">
        <f>IFERROR(__xludf.DUMMYFUNCTION("""COMPUTED_VALUE""")," ")</f>
        <v> </v>
      </c>
      <c r="L809" s="87" t="str">
        <f>IFERROR(__xludf.DUMMYFUNCTION("""COMPUTED_VALUE""")," ")</f>
        <v> </v>
      </c>
      <c r="M809" s="64" t="str">
        <f>IFERROR(__xludf.DUMMYFUNCTION("""COMPUTED_VALUE"""),"U: [1/5 W]; W: [1:1, $11.5]")</f>
        <v>U: [1/5 W]; W: [1:1, $11.5]</v>
      </c>
      <c r="N809" s="65" t="str">
        <f>IFERROR(__xludf.DUMMYFUNCTION("""COMPUTED_VALUE"""),"")</f>
        <v/>
      </c>
      <c r="O809" s="66">
        <f>IFERROR(__xludf.DUMMYFUNCTION("""COMPUTED_VALUE"""),0.0)</f>
        <v>0</v>
      </c>
      <c r="P809" s="67"/>
      <c r="Q809" s="68">
        <f>IFERROR(__xludf.DUMMYFUNCTION("""COMPUTED_VALUE"""),400.0)</f>
        <v>400</v>
      </c>
      <c r="R809" s="69" t="str">
        <f>IFERROR(__xludf.DUMMYFUNCTION("""COMPUTED_VALUE"""),"Credit Suisse")</f>
        <v>Credit Suisse</v>
      </c>
      <c r="S809" s="64">
        <f>IFERROR(__xludf.DUMMYFUNCTION("""COMPUTED_VALUE"""),45086.0)</f>
        <v>45086</v>
      </c>
      <c r="T809" s="70" t="str">
        <f>IFERROR(__xludf.DUMMYFUNCTION("""COMPUTED_VALUE"""),"")</f>
        <v/>
      </c>
      <c r="U809" s="71" t="str">
        <f>IFERROR(__xludf.DUMMYFUNCTION("""COMPUTED_VALUE"""),"https://www.sec.gov/cgi-bin/browse-edgar?CIK=1847969")</f>
        <v>https://www.sec.gov/cgi-bin/browse-edgar?CIK=1847969</v>
      </c>
      <c r="V809" s="72" t="str">
        <f>IFERROR(__xludf.DUMMYFUNCTION("""COMPUTED_VALUE"""),"         Well-known Sponsor Serial Sponsor  ")</f>
        <v>         Well-known Sponsor Serial Sponsor  </v>
      </c>
      <c r="W809" s="73"/>
      <c r="X809" s="74"/>
      <c r="Y809" s="75"/>
      <c r="Z809" s="60"/>
      <c r="AA809" s="60"/>
      <c r="AB809" s="60"/>
      <c r="AC809" s="60"/>
      <c r="AD809" s="73"/>
      <c r="AE809" s="73"/>
      <c r="AF809" s="76"/>
      <c r="AG809" s="60"/>
    </row>
    <row r="810">
      <c r="A810" s="88" t="str">
        <f>IFERROR(__xludf.DUMMYFUNCTION("""COMPUTED_VALUE"""),"XXXX")</f>
        <v>XXXX</v>
      </c>
      <c r="B810" s="55" t="str">
        <f>IFERROR(__xludf.DUMMYFUNCTION("""COMPUTED_VALUE"""),"Leo Holdings V Corp")</f>
        <v>Leo Holdings V Corp</v>
      </c>
      <c r="C810" s="56" t="str">
        <f>IFERROR(__xludf.DUMMYFUNCTION("""COMPUTED_VALUE"""),"Pre IPO")</f>
        <v>Pre IPO</v>
      </c>
      <c r="D810" s="57" t="str">
        <f>IFERROR(__xludf.DUMMYFUNCTION("""COMPUTED_VALUE"""),"Consumer")</f>
        <v>Consumer</v>
      </c>
      <c r="E810" s="58"/>
      <c r="F810" s="59" t="str">
        <f>IFERROR(__xludf.DUMMYFUNCTION("""COMPUTED_VALUE"""),"Edward Forst (Former CEO of Cushman &amp; Wakefield), Lyndon Lea (Founder &amp; Managing Partner of Lion Capital), Lori Bush (Former CEO, Rodan + Fields)")</f>
        <v>Edward Forst (Former CEO of Cushman &amp; Wakefield), Lyndon Lea (Founder &amp; Managing Partner of Lion Capital), Lori Bush (Former CEO, Rodan + Fields)</v>
      </c>
      <c r="G810" s="60">
        <f>IFERROR(__xludf.DUMMYFUNCTION("""COMPUTED_VALUE"""),2.5E8)</f>
        <v>250000000</v>
      </c>
      <c r="H810" s="60" t="str">
        <f>IFERROR(__xludf.DUMMYFUNCTION("""COMPUTED_VALUE""")," ")</f>
        <v> </v>
      </c>
      <c r="I810" s="66" t="str">
        <f>IFERROR(__xludf.DUMMYFUNCTION("""COMPUTED_VALUE""")," ")</f>
        <v> </v>
      </c>
      <c r="J810" s="62" t="str">
        <f>IFERROR(__xludf.DUMMYFUNCTION("""COMPUTED_VALUE""")," ")</f>
        <v> </v>
      </c>
      <c r="K810" s="59" t="str">
        <f>IFERROR(__xludf.DUMMYFUNCTION("""COMPUTED_VALUE""")," ")</f>
        <v> </v>
      </c>
      <c r="L810" s="87" t="str">
        <f>IFERROR(__xludf.DUMMYFUNCTION("""COMPUTED_VALUE""")," ")</f>
        <v> </v>
      </c>
      <c r="M810" s="64" t="str">
        <f>IFERROR(__xludf.DUMMYFUNCTION("""COMPUTED_VALUE"""),"U: [1/5 W]; W: [1:1, $11.5]")</f>
        <v>U: [1/5 W]; W: [1:1, $11.5]</v>
      </c>
      <c r="N810" s="65" t="str">
        <f>IFERROR(__xludf.DUMMYFUNCTION("""COMPUTED_VALUE"""),"")</f>
        <v/>
      </c>
      <c r="O810" s="66">
        <f>IFERROR(__xludf.DUMMYFUNCTION("""COMPUTED_VALUE"""),0.0)</f>
        <v>0</v>
      </c>
      <c r="P810" s="67"/>
      <c r="Q810" s="68">
        <f>IFERROR(__xludf.DUMMYFUNCTION("""COMPUTED_VALUE"""),250.0)</f>
        <v>250</v>
      </c>
      <c r="R810" s="69" t="str">
        <f>IFERROR(__xludf.DUMMYFUNCTION("""COMPUTED_VALUE"""),"Deutsche Bank Securities")</f>
        <v>Deutsche Bank Securities</v>
      </c>
      <c r="S810" s="64">
        <f>IFERROR(__xludf.DUMMYFUNCTION("""COMPUTED_VALUE"""),45086.0)</f>
        <v>45086</v>
      </c>
      <c r="T810" s="70" t="str">
        <f>IFERROR(__xludf.DUMMYFUNCTION("""COMPUTED_VALUE"""),"")</f>
        <v/>
      </c>
      <c r="U810" s="71" t="str">
        <f>IFERROR(__xludf.DUMMYFUNCTION("""COMPUTED_VALUE"""),"https://www.sec.gov/cgi-bin/browse-edgar?CIK=1847200")</f>
        <v>https://www.sec.gov/cgi-bin/browse-edgar?CIK=1847200</v>
      </c>
      <c r="V810" s="72" t="str">
        <f>IFERROR(__xludf.DUMMYFUNCTION("""COMPUTED_VALUE"""),"         Well-known Sponsor Serial Sponsor  ")</f>
        <v>         Well-known Sponsor Serial Sponsor  </v>
      </c>
      <c r="W810" s="73"/>
      <c r="X810" s="74"/>
      <c r="Y810" s="75"/>
      <c r="Z810" s="60"/>
      <c r="AA810" s="60"/>
      <c r="AB810" s="60"/>
      <c r="AC810" s="60"/>
      <c r="AD810" s="73"/>
      <c r="AE810" s="73"/>
      <c r="AF810" s="76"/>
      <c r="AG810" s="60"/>
    </row>
    <row r="811">
      <c r="A811" s="88" t="str">
        <f>IFERROR(__xludf.DUMMYFUNCTION("""COMPUTED_VALUE"""),"XXXX")</f>
        <v>XXXX</v>
      </c>
      <c r="B811" s="55" t="str">
        <f>IFERROR(__xludf.DUMMYFUNCTION("""COMPUTED_VALUE"""),"BharCap Acquisition Corp.")</f>
        <v>BharCap Acquisition Corp.</v>
      </c>
      <c r="C811" s="56" t="str">
        <f>IFERROR(__xludf.DUMMYFUNCTION("""COMPUTED_VALUE"""),"Pre IPO")</f>
        <v>Pre IPO</v>
      </c>
      <c r="D811" s="77" t="str">
        <f>IFERROR(__xludf.DUMMYFUNCTION("""COMPUTED_VALUE"""),"Financial Services, Fintech")</f>
        <v>Financial Services, Fintech</v>
      </c>
      <c r="E811" s="58"/>
      <c r="F811" s="59" t="str">
        <f>IFERROR(__xludf.DUMMYFUNCTION("""COMPUTED_VALUE"""),"Raj Date (Managing Partner of Fenway Summer), Gene Lockhart (Former CEO of Mastercard International), Karl Mehta (Founder &amp; CEO of EdCast and Former venture partner at Menlo Ventures)")</f>
        <v>Raj Date (Managing Partner of Fenway Summer), Gene Lockhart (Former CEO of Mastercard International), Karl Mehta (Founder &amp; CEO of EdCast and Former venture partner at Menlo Ventures)</v>
      </c>
      <c r="G811" s="60">
        <f>IFERROR(__xludf.DUMMYFUNCTION("""COMPUTED_VALUE"""),2.5E8)</f>
        <v>250000000</v>
      </c>
      <c r="H811" s="60" t="str">
        <f>IFERROR(__xludf.DUMMYFUNCTION("""COMPUTED_VALUE""")," ")</f>
        <v> </v>
      </c>
      <c r="I811" s="66" t="str">
        <f>IFERROR(__xludf.DUMMYFUNCTION("""COMPUTED_VALUE""")," ")</f>
        <v> </v>
      </c>
      <c r="J811" s="62" t="str">
        <f>IFERROR(__xludf.DUMMYFUNCTION("""COMPUTED_VALUE""")," ")</f>
        <v> </v>
      </c>
      <c r="K811" s="59" t="str">
        <f>IFERROR(__xludf.DUMMYFUNCTION("""COMPUTED_VALUE""")," ")</f>
        <v> </v>
      </c>
      <c r="L811" s="87" t="str">
        <f>IFERROR(__xludf.DUMMYFUNCTION("""COMPUTED_VALUE""")," ")</f>
        <v> </v>
      </c>
      <c r="M811" s="64" t="str">
        <f>IFERROR(__xludf.DUMMYFUNCTION("""COMPUTED_VALUE"""),"U: [1/3 W]; W: [1:1, $11.5]")</f>
        <v>U: [1/3 W]; W: [1:1, $11.5]</v>
      </c>
      <c r="N811" s="65" t="str">
        <f>IFERROR(__xludf.DUMMYFUNCTION("""COMPUTED_VALUE"""),"")</f>
        <v/>
      </c>
      <c r="O811" s="66">
        <f>IFERROR(__xludf.DUMMYFUNCTION("""COMPUTED_VALUE"""),0.0)</f>
        <v>0</v>
      </c>
      <c r="P811" s="67"/>
      <c r="Q811" s="68">
        <f>IFERROR(__xludf.DUMMYFUNCTION("""COMPUTED_VALUE"""),250.0)</f>
        <v>250</v>
      </c>
      <c r="R811" s="69" t="str">
        <f>IFERROR(__xludf.DUMMYFUNCTION("""COMPUTED_VALUE"""),"J.P. Morgan")</f>
        <v>J.P. Morgan</v>
      </c>
      <c r="S811" s="64">
        <f>IFERROR(__xludf.DUMMYFUNCTION("""COMPUTED_VALUE"""),45086.0)</f>
        <v>45086</v>
      </c>
      <c r="T811" s="70" t="str">
        <f>IFERROR(__xludf.DUMMYFUNCTION("""COMPUTED_VALUE"""),"")</f>
        <v/>
      </c>
      <c r="U811" s="71" t="str">
        <f>IFERROR(__xludf.DUMMYFUNCTION("""COMPUTED_VALUE"""),"https://www.sec.gov/cgi-bin/browse-edgar?CIK=1850660")</f>
        <v>https://www.sec.gov/cgi-bin/browse-edgar?CIK=1850660</v>
      </c>
      <c r="V811" s="72" t="str">
        <f>IFERROR(__xludf.DUMMYFUNCTION("""COMPUTED_VALUE"""),"            ")</f>
        <v>            </v>
      </c>
      <c r="W811" s="73"/>
      <c r="X811" s="74"/>
      <c r="Y811" s="75"/>
      <c r="Z811" s="60"/>
      <c r="AA811" s="60"/>
      <c r="AB811" s="60"/>
      <c r="AC811" s="60"/>
      <c r="AD811" s="73"/>
      <c r="AE811" s="73"/>
      <c r="AF811" s="76"/>
      <c r="AG811" s="60"/>
    </row>
    <row r="812">
      <c r="A812" s="88" t="str">
        <f>IFERROR(__xludf.DUMMYFUNCTION("""COMPUTED_VALUE"""),"XXXX")</f>
        <v>XXXX</v>
      </c>
      <c r="B812" s="55" t="str">
        <f>IFERROR(__xludf.DUMMYFUNCTION("""COMPUTED_VALUE"""),"Vector Acquisition Corp IV")</f>
        <v>Vector Acquisition Corp IV</v>
      </c>
      <c r="C812" s="56" t="str">
        <f>IFERROR(__xludf.DUMMYFUNCTION("""COMPUTED_VALUE"""),"Pre IPO")</f>
        <v>Pre IPO</v>
      </c>
      <c r="D812" s="77" t="str">
        <f>IFERROR(__xludf.DUMMYFUNCTION("""COMPUTED_VALUE"""),"Tech")</f>
        <v>Tech</v>
      </c>
      <c r="E812" s="58"/>
      <c r="F812" s="59" t="str">
        <f>IFERROR(__xludf.DUMMYFUNCTION("""COMPUTED_VALUE"""),"Alex Slusky (Founder of Vector Capital)")</f>
        <v>Alex Slusky (Founder of Vector Capital)</v>
      </c>
      <c r="G812" s="60">
        <f>IFERROR(__xludf.DUMMYFUNCTION("""COMPUTED_VALUE"""),3.5E8)</f>
        <v>350000000</v>
      </c>
      <c r="H812" s="60" t="str">
        <f>IFERROR(__xludf.DUMMYFUNCTION("""COMPUTED_VALUE""")," ")</f>
        <v> </v>
      </c>
      <c r="I812" s="66" t="str">
        <f>IFERROR(__xludf.DUMMYFUNCTION("""COMPUTED_VALUE""")," ")</f>
        <v> </v>
      </c>
      <c r="J812" s="62" t="str">
        <f>IFERROR(__xludf.DUMMYFUNCTION("""COMPUTED_VALUE""")," ")</f>
        <v> </v>
      </c>
      <c r="K812" s="59" t="str">
        <f>IFERROR(__xludf.DUMMYFUNCTION("""COMPUTED_VALUE""")," ")</f>
        <v> </v>
      </c>
      <c r="L812" s="87" t="str">
        <f>IFERROR(__xludf.DUMMYFUNCTION("""COMPUTED_VALUE""")," ")</f>
        <v> </v>
      </c>
      <c r="M812" s="64" t="str">
        <f>IFERROR(__xludf.DUMMYFUNCTION("""COMPUTED_VALUE"""),"U: [No Units]; W: [No Warrants]")</f>
        <v>U: [No Units]; W: [No Warrants]</v>
      </c>
      <c r="N812" s="65" t="str">
        <f>IFERROR(__xludf.DUMMYFUNCTION("""COMPUTED_VALUE"""),"")</f>
        <v/>
      </c>
      <c r="O812" s="66">
        <f>IFERROR(__xludf.DUMMYFUNCTION("""COMPUTED_VALUE"""),0.0)</f>
        <v>0</v>
      </c>
      <c r="P812" s="67"/>
      <c r="Q812" s="68">
        <f>IFERROR(__xludf.DUMMYFUNCTION("""COMPUTED_VALUE"""),350.0)</f>
        <v>350</v>
      </c>
      <c r="R812" s="69"/>
      <c r="S812" s="64">
        <f>IFERROR(__xludf.DUMMYFUNCTION("""COMPUTED_VALUE"""),45086.0)</f>
        <v>45086</v>
      </c>
      <c r="T812" s="70" t="str">
        <f>IFERROR(__xludf.DUMMYFUNCTION("""COMPUTED_VALUE"""),"")</f>
        <v/>
      </c>
      <c r="U812" s="71" t="str">
        <f>IFERROR(__xludf.DUMMYFUNCTION("""COMPUTED_VALUE"""),"https://www.sec.gov/cgi-bin/browse-edgar?CIK=1851170")</f>
        <v>https://www.sec.gov/cgi-bin/browse-edgar?CIK=1851170</v>
      </c>
      <c r="V812" s="72" t="str">
        <f>IFERROR(__xludf.DUMMYFUNCTION("""COMPUTED_VALUE"""),"          Serial Sponsor  ")</f>
        <v>          Serial Sponsor  </v>
      </c>
      <c r="W812" s="73"/>
      <c r="X812" s="74"/>
      <c r="Y812" s="75"/>
      <c r="Z812" s="60"/>
      <c r="AA812" s="60"/>
      <c r="AB812" s="60"/>
      <c r="AC812" s="60"/>
      <c r="AD812" s="73"/>
      <c r="AE812" s="73"/>
      <c r="AF812" s="76"/>
      <c r="AG812" s="60"/>
    </row>
    <row r="813">
      <c r="A813" s="88" t="str">
        <f>IFERROR(__xludf.DUMMYFUNCTION("""COMPUTED_VALUE"""),"XXXX")</f>
        <v>XXXX</v>
      </c>
      <c r="B813" s="55" t="str">
        <f>IFERROR(__xludf.DUMMYFUNCTION("""COMPUTED_VALUE"""),"Falcon Capital Acquisition Corp. II")</f>
        <v>Falcon Capital Acquisition Corp. II</v>
      </c>
      <c r="C813" s="56" t="str">
        <f>IFERROR(__xludf.DUMMYFUNCTION("""COMPUTED_VALUE"""),"Pre IPO")</f>
        <v>Pre IPO</v>
      </c>
      <c r="D813" s="77" t="str">
        <f>IFERROR(__xludf.DUMMYFUNCTION("""COMPUTED_VALUE"""),"Media, Entertainment, Sports, Tech")</f>
        <v>Media, Entertainment, Sports, Tech</v>
      </c>
      <c r="E813" s="58"/>
      <c r="F813" s="59" t="str">
        <f>IFERROR(__xludf.DUMMYFUNCTION("""COMPUTED_VALUE"""),"Alan Mnuchin, Karen Finerman (Co-founder/CEO, Metropolitan Capital Advisors), Michael Ronen (Fmr MP, Softbank Vision Fund), Doug Band (Fmr Deputy Asst. to President Clinton), Jeremy Zimmer (Co-founder /CEO, United Talent Agency)")</f>
        <v>Alan Mnuchin, Karen Finerman (Co-founder/CEO, Metropolitan Capital Advisors), Michael Ronen (Fmr MP, Softbank Vision Fund), Doug Band (Fmr Deputy Asst. to President Clinton), Jeremy Zimmer (Co-founder /CEO, United Talent Agency)</v>
      </c>
      <c r="G813" s="60">
        <f>IFERROR(__xludf.DUMMYFUNCTION("""COMPUTED_VALUE"""),4.0E8)</f>
        <v>400000000</v>
      </c>
      <c r="H813" s="60" t="str">
        <f>IFERROR(__xludf.DUMMYFUNCTION("""COMPUTED_VALUE""")," ")</f>
        <v> </v>
      </c>
      <c r="I813" s="66" t="str">
        <f>IFERROR(__xludf.DUMMYFUNCTION("""COMPUTED_VALUE""")," ")</f>
        <v> </v>
      </c>
      <c r="J813" s="62" t="str">
        <f>IFERROR(__xludf.DUMMYFUNCTION("""COMPUTED_VALUE""")," ")</f>
        <v> </v>
      </c>
      <c r="K813" s="59" t="str">
        <f>IFERROR(__xludf.DUMMYFUNCTION("""COMPUTED_VALUE""")," ")</f>
        <v> </v>
      </c>
      <c r="L813" s="87" t="str">
        <f>IFERROR(__xludf.DUMMYFUNCTION("""COMPUTED_VALUE""")," ")</f>
        <v> </v>
      </c>
      <c r="M813" s="64" t="str">
        <f>IFERROR(__xludf.DUMMYFUNCTION("""COMPUTED_VALUE"""),"U: [1/4 W]; W: [1:1, $11.5]")</f>
        <v>U: [1/4 W]; W: [1:1, $11.5]</v>
      </c>
      <c r="N813" s="65" t="str">
        <f>IFERROR(__xludf.DUMMYFUNCTION("""COMPUTED_VALUE"""),"")</f>
        <v/>
      </c>
      <c r="O813" s="66">
        <f>IFERROR(__xludf.DUMMYFUNCTION("""COMPUTED_VALUE"""),0.0)</f>
        <v>0</v>
      </c>
      <c r="P813" s="67"/>
      <c r="Q813" s="68">
        <f>IFERROR(__xludf.DUMMYFUNCTION("""COMPUTED_VALUE"""),400.0)</f>
        <v>400</v>
      </c>
      <c r="R813" s="69" t="str">
        <f>IFERROR(__xludf.DUMMYFUNCTION("""COMPUTED_VALUE"""),"Goldman Sachs &amp; Co. LLC")</f>
        <v>Goldman Sachs &amp; Co. LLC</v>
      </c>
      <c r="S813" s="64">
        <f>IFERROR(__xludf.DUMMYFUNCTION("""COMPUTED_VALUE"""),45086.0)</f>
        <v>45086</v>
      </c>
      <c r="T813" s="70" t="str">
        <f>IFERROR(__xludf.DUMMYFUNCTION("""COMPUTED_VALUE"""),"")</f>
        <v/>
      </c>
      <c r="U813" s="71" t="str">
        <f>IFERROR(__xludf.DUMMYFUNCTION("""COMPUTED_VALUE"""),"https://www.sec.gov/cgi-bin/browse-edgar?CIK=1849313")</f>
        <v>https://www.sec.gov/cgi-bin/browse-edgar?CIK=1849313</v>
      </c>
      <c r="V813" s="72" t="str">
        <f>IFERROR(__xludf.DUMMYFUNCTION("""COMPUTED_VALUE"""),"           Top Tier UW ")</f>
        <v>           Top Tier UW </v>
      </c>
      <c r="W813" s="73"/>
      <c r="X813" s="74"/>
      <c r="Y813" s="75"/>
      <c r="Z813" s="60"/>
      <c r="AA813" s="60"/>
      <c r="AB813" s="60"/>
      <c r="AC813" s="60"/>
      <c r="AD813" s="73"/>
      <c r="AE813" s="73"/>
      <c r="AF813" s="76"/>
      <c r="AG813" s="60"/>
    </row>
    <row r="814">
      <c r="A814" s="88" t="str">
        <f>IFERROR(__xludf.DUMMYFUNCTION("""COMPUTED_VALUE"""),"XXXX")</f>
        <v>XXXX</v>
      </c>
      <c r="B814" s="55" t="str">
        <f>IFERROR(__xludf.DUMMYFUNCTION("""COMPUTED_VALUE"""),"Patria Acquisition Corp.")</f>
        <v>Patria Acquisition Corp.</v>
      </c>
      <c r="C814" s="56" t="str">
        <f>IFERROR(__xludf.DUMMYFUNCTION("""COMPUTED_VALUE"""),"Pre IPO")</f>
        <v>Pre IPO</v>
      </c>
      <c r="D814" s="77" t="str">
        <f>IFERROR(__xludf.DUMMYFUNCTION("""COMPUTED_VALUE"""),"Latin America")</f>
        <v>Latin America</v>
      </c>
      <c r="E814" s="58"/>
      <c r="F814" s="59"/>
      <c r="G814" s="60">
        <f>IFERROR(__xludf.DUMMYFUNCTION("""COMPUTED_VALUE"""),2.5E8)</f>
        <v>250000000</v>
      </c>
      <c r="H814" s="60" t="str">
        <f>IFERROR(__xludf.DUMMYFUNCTION("""COMPUTED_VALUE""")," ")</f>
        <v> </v>
      </c>
      <c r="I814" s="66" t="str">
        <f>IFERROR(__xludf.DUMMYFUNCTION("""COMPUTED_VALUE""")," ")</f>
        <v> </v>
      </c>
      <c r="J814" s="62" t="str">
        <f>IFERROR(__xludf.DUMMYFUNCTION("""COMPUTED_VALUE""")," ")</f>
        <v> </v>
      </c>
      <c r="K814" s="59" t="str">
        <f>IFERROR(__xludf.DUMMYFUNCTION("""COMPUTED_VALUE""")," ")</f>
        <v> </v>
      </c>
      <c r="L814" s="87" t="str">
        <f>IFERROR(__xludf.DUMMYFUNCTION("""COMPUTED_VALUE""")," ")</f>
        <v> </v>
      </c>
      <c r="M814" s="64" t="str">
        <f>IFERROR(__xludf.DUMMYFUNCTION("""COMPUTED_VALUE"""),"U: [1/3 W]; W: [1:1, $11.5]")</f>
        <v>U: [1/3 W]; W: [1:1, $11.5]</v>
      </c>
      <c r="N814" s="65" t="str">
        <f>IFERROR(__xludf.DUMMYFUNCTION("""COMPUTED_VALUE"""),"")</f>
        <v/>
      </c>
      <c r="O814" s="66">
        <f>IFERROR(__xludf.DUMMYFUNCTION("""COMPUTED_VALUE"""),0.0)</f>
        <v>0</v>
      </c>
      <c r="P814" s="67"/>
      <c r="Q814" s="68">
        <f>IFERROR(__xludf.DUMMYFUNCTION("""COMPUTED_VALUE"""),250.0)</f>
        <v>250</v>
      </c>
      <c r="R814" s="69" t="str">
        <f>IFERROR(__xludf.DUMMYFUNCTION("""COMPUTED_VALUE"""),"J.P. Morgan")</f>
        <v>J.P. Morgan</v>
      </c>
      <c r="S814" s="64">
        <f>IFERROR(__xludf.DUMMYFUNCTION("""COMPUTED_VALUE"""),45086.0)</f>
        <v>45086</v>
      </c>
      <c r="T814" s="70" t="str">
        <f>IFERROR(__xludf.DUMMYFUNCTION("""COMPUTED_VALUE"""),"")</f>
        <v/>
      </c>
      <c r="U814" s="71" t="str">
        <f>IFERROR(__xludf.DUMMYFUNCTION("""COMPUTED_VALUE"""),"https://www.sec.gov/cgi-bin/browse-edgar?CIK=1849737")</f>
        <v>https://www.sec.gov/cgi-bin/browse-edgar?CIK=1849737</v>
      </c>
      <c r="V814" s="72" t="str">
        <f>IFERROR(__xludf.DUMMYFUNCTION("""COMPUTED_VALUE"""),"            ")</f>
        <v>            </v>
      </c>
      <c r="W814" s="73"/>
      <c r="X814" s="74"/>
      <c r="Y814" s="75"/>
      <c r="Z814" s="60"/>
      <c r="AA814" s="60"/>
      <c r="AB814" s="60"/>
      <c r="AC814" s="60"/>
      <c r="AD814" s="73"/>
      <c r="AE814" s="73"/>
      <c r="AF814" s="76"/>
      <c r="AG814" s="60"/>
    </row>
    <row r="815">
      <c r="A815" s="88" t="str">
        <f>IFERROR(__xludf.DUMMYFUNCTION("""COMPUTED_VALUE"""),"XXXX")</f>
        <v>XXXX</v>
      </c>
      <c r="B815" s="55" t="str">
        <f>IFERROR(__xludf.DUMMYFUNCTION("""COMPUTED_VALUE"""),"Good Commerce Acquisition Corp")</f>
        <v>Good Commerce Acquisition Corp</v>
      </c>
      <c r="C815" s="56" t="str">
        <f>IFERROR(__xludf.DUMMYFUNCTION("""COMPUTED_VALUE"""),"Pre IPO")</f>
        <v>Pre IPO</v>
      </c>
      <c r="D815" s="77" t="str">
        <f>IFERROR(__xludf.DUMMYFUNCTION("""COMPUTED_VALUE"""),"Consumer roll-up")</f>
        <v>Consumer roll-up</v>
      </c>
      <c r="E815" s="58"/>
      <c r="F815" s="59" t="str">
        <f>IFERROR(__xludf.DUMMYFUNCTION("""COMPUTED_VALUE"""),"Art Peck (Former CEO of Gap, Inc.)")</f>
        <v>Art Peck (Former CEO of Gap, Inc.)</v>
      </c>
      <c r="G815" s="60">
        <f>IFERROR(__xludf.DUMMYFUNCTION("""COMPUTED_VALUE"""),2.0E8)</f>
        <v>200000000</v>
      </c>
      <c r="H815" s="60" t="str">
        <f>IFERROR(__xludf.DUMMYFUNCTION("""COMPUTED_VALUE""")," ")</f>
        <v> </v>
      </c>
      <c r="I815" s="66" t="str">
        <f>IFERROR(__xludf.DUMMYFUNCTION("""COMPUTED_VALUE""")," ")</f>
        <v> </v>
      </c>
      <c r="J815" s="62" t="str">
        <f>IFERROR(__xludf.DUMMYFUNCTION("""COMPUTED_VALUE""")," ")</f>
        <v> </v>
      </c>
      <c r="K815" s="59" t="str">
        <f>IFERROR(__xludf.DUMMYFUNCTION("""COMPUTED_VALUE""")," ")</f>
        <v> </v>
      </c>
      <c r="L815" s="87" t="str">
        <f>IFERROR(__xludf.DUMMYFUNCTION("""COMPUTED_VALUE""")," ")</f>
        <v> </v>
      </c>
      <c r="M815" s="64" t="str">
        <f>IFERROR(__xludf.DUMMYFUNCTION("""COMPUTED_VALUE"""),"U: [1/3 W]; W: [1:1, $11.5]")</f>
        <v>U: [1/3 W]; W: [1:1, $11.5]</v>
      </c>
      <c r="N815" s="65" t="str">
        <f>IFERROR(__xludf.DUMMYFUNCTION("""COMPUTED_VALUE"""),"")</f>
        <v/>
      </c>
      <c r="O815" s="66">
        <f>IFERROR(__xludf.DUMMYFUNCTION("""COMPUTED_VALUE"""),0.0)</f>
        <v>0</v>
      </c>
      <c r="P815" s="67"/>
      <c r="Q815" s="68">
        <f>IFERROR(__xludf.DUMMYFUNCTION("""COMPUTED_VALUE"""),200.0)</f>
        <v>200</v>
      </c>
      <c r="R815" s="69" t="str">
        <f>IFERROR(__xludf.DUMMYFUNCTION("""COMPUTED_VALUE"""),"Credit Suisse")</f>
        <v>Credit Suisse</v>
      </c>
      <c r="S815" s="64">
        <f>IFERROR(__xludf.DUMMYFUNCTION("""COMPUTED_VALUE"""),45086.0)</f>
        <v>45086</v>
      </c>
      <c r="T815" s="70" t="str">
        <f>IFERROR(__xludf.DUMMYFUNCTION("""COMPUTED_VALUE"""),"")</f>
        <v/>
      </c>
      <c r="U815" s="71" t="str">
        <f>IFERROR(__xludf.DUMMYFUNCTION("""COMPUTED_VALUE"""),"https://www.sec.gov/cgi-bin/browse-edgar?CIK=1850385")</f>
        <v>https://www.sec.gov/cgi-bin/browse-edgar?CIK=1850385</v>
      </c>
      <c r="V815" s="72" t="str">
        <f>IFERROR(__xludf.DUMMYFUNCTION("""COMPUTED_VALUE"""),"         Well-known Sponsor   ")</f>
        <v>         Well-known Sponsor   </v>
      </c>
      <c r="W815" s="73"/>
      <c r="X815" s="74"/>
      <c r="Y815" s="75"/>
      <c r="Z815" s="60"/>
      <c r="AA815" s="60"/>
      <c r="AB815" s="60"/>
      <c r="AC815" s="60"/>
      <c r="AD815" s="73"/>
      <c r="AE815" s="73"/>
      <c r="AF815" s="76"/>
      <c r="AG815" s="60"/>
    </row>
    <row r="816">
      <c r="A816" s="88" t="str">
        <f>IFERROR(__xludf.DUMMYFUNCTION("""COMPUTED_VALUE"""),"XXXX")</f>
        <v>XXXX</v>
      </c>
      <c r="B816" s="55" t="str">
        <f>IFERROR(__xludf.DUMMYFUNCTION("""COMPUTED_VALUE"""),"Ascendant Digital Acquisition Corp. II")</f>
        <v>Ascendant Digital Acquisition Corp. II</v>
      </c>
      <c r="C816" s="56" t="str">
        <f>IFERROR(__xludf.DUMMYFUNCTION("""COMPUTED_VALUE"""),"Pre IPO")</f>
        <v>Pre IPO</v>
      </c>
      <c r="D816" s="57" t="str">
        <f>IFERROR(__xludf.DUMMYFUNCTION("""COMPUTED_VALUE"""),"Attention Economy (Media / Entertainment/ Digital)")</f>
        <v>Attention Economy (Media / Entertainment/ Digital)</v>
      </c>
      <c r="E816" s="58"/>
      <c r="F816" s="59" t="str">
        <f>IFERROR(__xludf.DUMMYFUNCTION("""COMPUTED_VALUE"""),"Mark Gerhard (Former CEO and CTO of Jagex Game Studios: creator of Runescape), Riaan Hodgson (Former COO and CFO of Jagex Game Studios), Michael Jesselson (Former Director of American Eagle Outfitters and Director of XPO Logistics), Diane Nelson (Former C"&amp;"OO of Content at Quibi, Former President of DC Entertainment), Bob Foresman (Former Vice chairman of UBS Investment Bank)")</f>
        <v>Mark Gerhard (Former CEO and CTO of Jagex Game Studios: creator of Runescape), Riaan Hodgson (Former COO and CFO of Jagex Game Studios), Michael Jesselson (Former Director of American Eagle Outfitters and Director of XPO Logistics), Diane Nelson (Former COO of Content at Quibi, Former President of DC Entertainment), Bob Foresman (Former Vice chairman of UBS Investment Bank)</v>
      </c>
      <c r="G816" s="60">
        <f>IFERROR(__xludf.DUMMYFUNCTION("""COMPUTED_VALUE"""),3.0E8)</f>
        <v>300000000</v>
      </c>
      <c r="H816" s="60" t="str">
        <f>IFERROR(__xludf.DUMMYFUNCTION("""COMPUTED_VALUE""")," ")</f>
        <v> </v>
      </c>
      <c r="I816" s="66" t="str">
        <f>IFERROR(__xludf.DUMMYFUNCTION("""COMPUTED_VALUE""")," ")</f>
        <v> </v>
      </c>
      <c r="J816" s="62" t="str">
        <f>IFERROR(__xludf.DUMMYFUNCTION("""COMPUTED_VALUE""")," ")</f>
        <v> </v>
      </c>
      <c r="K816" s="59" t="str">
        <f>IFERROR(__xludf.DUMMYFUNCTION("""COMPUTED_VALUE""")," ")</f>
        <v> </v>
      </c>
      <c r="L816" s="87" t="str">
        <f>IFERROR(__xludf.DUMMYFUNCTION("""COMPUTED_VALUE""")," ")</f>
        <v> </v>
      </c>
      <c r="M816" s="64" t="str">
        <f>IFERROR(__xludf.DUMMYFUNCTION("""COMPUTED_VALUE"""),"U: [1/3 W]; W: [1:1, $11.5]")</f>
        <v>U: [1/3 W]; W: [1:1, $11.5]</v>
      </c>
      <c r="N816" s="65" t="str">
        <f>IFERROR(__xludf.DUMMYFUNCTION("""COMPUTED_VALUE"""),"")</f>
        <v/>
      </c>
      <c r="O816" s="66">
        <f>IFERROR(__xludf.DUMMYFUNCTION("""COMPUTED_VALUE"""),0.0)</f>
        <v>0</v>
      </c>
      <c r="P816" s="67"/>
      <c r="Q816" s="68">
        <f>IFERROR(__xludf.DUMMYFUNCTION("""COMPUTED_VALUE"""),300.0)</f>
        <v>300</v>
      </c>
      <c r="R816" s="69" t="str">
        <f>IFERROR(__xludf.DUMMYFUNCTION("""COMPUTED_VALUE"""),"Goldman Sachs &amp; Co. LLC")</f>
        <v>Goldman Sachs &amp; Co. LLC</v>
      </c>
      <c r="S816" s="64">
        <f>IFERROR(__xludf.DUMMYFUNCTION("""COMPUTED_VALUE"""),45086.0)</f>
        <v>45086</v>
      </c>
      <c r="T816" s="70" t="str">
        <f>IFERROR(__xludf.DUMMYFUNCTION("""COMPUTED_VALUE"""),"")</f>
        <v/>
      </c>
      <c r="U816" s="71" t="str">
        <f>IFERROR(__xludf.DUMMYFUNCTION("""COMPUTED_VALUE"""),"https://www.sec.gov/cgi-bin/browse-edgar?CIK=1842270")</f>
        <v>https://www.sec.gov/cgi-bin/browse-edgar?CIK=1842270</v>
      </c>
      <c r="V816" s="72" t="str">
        <f>IFERROR(__xludf.DUMMYFUNCTION("""COMPUTED_VALUE"""),"           Top Tier UW ")</f>
        <v>           Top Tier UW </v>
      </c>
      <c r="W816" s="73"/>
      <c r="X816" s="74"/>
      <c r="Y816" s="75"/>
      <c r="Z816" s="60"/>
      <c r="AA816" s="60"/>
      <c r="AB816" s="60"/>
      <c r="AC816" s="60"/>
      <c r="AD816" s="73"/>
      <c r="AE816" s="73"/>
      <c r="AF816" s="76"/>
      <c r="AG816" s="60"/>
    </row>
    <row r="817">
      <c r="A817" s="88" t="str">
        <f>IFERROR(__xludf.DUMMYFUNCTION("""COMPUTED_VALUE"""),"XXXX")</f>
        <v>XXXX</v>
      </c>
      <c r="B817" s="55" t="str">
        <f>IFERROR(__xludf.DUMMYFUNCTION("""COMPUTED_VALUE"""),"Falcon Acquisition Corp.")</f>
        <v>Falcon Acquisition Corp.</v>
      </c>
      <c r="C817" s="56" t="str">
        <f>IFERROR(__xludf.DUMMYFUNCTION("""COMPUTED_VALUE"""),"Pre IPO")</f>
        <v>Pre IPO</v>
      </c>
      <c r="D817" s="57" t="str">
        <f>IFERROR(__xludf.DUMMYFUNCTION("""COMPUTED_VALUE"""),"Tech")</f>
        <v>Tech</v>
      </c>
      <c r="E817" s="58"/>
      <c r="F817" s="59" t="str">
        <f>IFERROR(__xludf.DUMMYFUNCTION("""COMPUTED_VALUE"""),"Thomas Barrack (Founder of Colony Capital and Former Director of Carrefour &amp; Continental Airlines)")</f>
        <v>Thomas Barrack (Founder of Colony Capital and Former Director of Carrefour &amp; Continental Airlines)</v>
      </c>
      <c r="G817" s="60">
        <f>IFERROR(__xludf.DUMMYFUNCTION("""COMPUTED_VALUE"""),2.5E8)</f>
        <v>250000000</v>
      </c>
      <c r="H817" s="60" t="str">
        <f>IFERROR(__xludf.DUMMYFUNCTION("""COMPUTED_VALUE""")," ")</f>
        <v> </v>
      </c>
      <c r="I817" s="66" t="str">
        <f>IFERROR(__xludf.DUMMYFUNCTION("""COMPUTED_VALUE""")," ")</f>
        <v> </v>
      </c>
      <c r="J817" s="62" t="str">
        <f>IFERROR(__xludf.DUMMYFUNCTION("""COMPUTED_VALUE""")," ")</f>
        <v> </v>
      </c>
      <c r="K817" s="59" t="str">
        <f>IFERROR(__xludf.DUMMYFUNCTION("""COMPUTED_VALUE""")," ")</f>
        <v> </v>
      </c>
      <c r="L817" s="87" t="str">
        <f>IFERROR(__xludf.DUMMYFUNCTION("""COMPUTED_VALUE""")," ")</f>
        <v> </v>
      </c>
      <c r="M817" s="64" t="str">
        <f>IFERROR(__xludf.DUMMYFUNCTION("""COMPUTED_VALUE"""),"U: [1/3 W]; W: [1:1, $11.5]")</f>
        <v>U: [1/3 W]; W: [1:1, $11.5]</v>
      </c>
      <c r="N817" s="65" t="str">
        <f>IFERROR(__xludf.DUMMYFUNCTION("""COMPUTED_VALUE"""),"")</f>
        <v/>
      </c>
      <c r="O817" s="66">
        <f>IFERROR(__xludf.DUMMYFUNCTION("""COMPUTED_VALUE"""),0.0)</f>
        <v>0</v>
      </c>
      <c r="P817" s="67"/>
      <c r="Q817" s="68">
        <f>IFERROR(__xludf.DUMMYFUNCTION("""COMPUTED_VALUE"""),250.0)</f>
        <v>250</v>
      </c>
      <c r="R817" s="69" t="str">
        <f>IFERROR(__xludf.DUMMYFUNCTION("""COMPUTED_VALUE"""),"Cantor")</f>
        <v>Cantor</v>
      </c>
      <c r="S817" s="64">
        <f>IFERROR(__xludf.DUMMYFUNCTION("""COMPUTED_VALUE"""),45086.0)</f>
        <v>45086</v>
      </c>
      <c r="T817" s="70" t="str">
        <f>IFERROR(__xludf.DUMMYFUNCTION("""COMPUTED_VALUE"""),"")</f>
        <v/>
      </c>
      <c r="U817" s="71" t="str">
        <f>IFERROR(__xludf.DUMMYFUNCTION("""COMPUTED_VALUE"""),"https://www.sec.gov/cgi-bin/browse-edgar?CIK=1828134")</f>
        <v>https://www.sec.gov/cgi-bin/browse-edgar?CIK=1828134</v>
      </c>
      <c r="V817" s="72" t="str">
        <f>IFERROR(__xludf.DUMMYFUNCTION("""COMPUTED_VALUE"""),"         Well-known Sponsor   ")</f>
        <v>         Well-known Sponsor   </v>
      </c>
      <c r="W817" s="73"/>
      <c r="X817" s="74"/>
      <c r="Y817" s="75"/>
      <c r="Z817" s="60"/>
      <c r="AA817" s="60"/>
      <c r="AB817" s="60"/>
      <c r="AC817" s="60"/>
      <c r="AD817" s="73"/>
      <c r="AE817" s="73"/>
      <c r="AF817" s="76"/>
      <c r="AG817" s="60"/>
    </row>
    <row r="818">
      <c r="A818" s="54" t="str">
        <f>IFERROR(__xludf.DUMMYFUNCTION("""COMPUTED_VALUE"""),"YAC")</f>
        <v>YAC</v>
      </c>
      <c r="B818" s="55" t="str">
        <f>IFERROR(__xludf.DUMMYFUNCTION("""COMPUTED_VALUE"""),"Yucaipa Acquisition Corp")</f>
        <v>Yucaipa Acquisition Corp</v>
      </c>
      <c r="C818" s="56" t="str">
        <f>IFERROR(__xludf.DUMMYFUNCTION("""COMPUTED_VALUE"""),"Searching")</f>
        <v>Searching</v>
      </c>
      <c r="D818" s="57"/>
      <c r="E818" s="58" t="str">
        <f>IFERROR(__xludf.DUMMYFUNCTION("""COMPUTED_VALUE"""),"[In talks (unconfirmed) with SIGNA Sports United: Per Bloomberg 4/8/21]")</f>
        <v>[In talks (unconfirmed) with SIGNA Sports United: Per Bloomberg 4/8/21]</v>
      </c>
      <c r="F818" s="59" t="str">
        <f>IFERROR(__xludf.DUMMYFUNCTION("""COMPUTED_VALUE"""),"Ronald Burkle (Co-owner Pittsburgh Penguins; Chairman, Soho House; Co-founder A-Grade Investments)")</f>
        <v>Ronald Burkle (Co-owner Pittsburgh Penguins; Chairman, Soho House; Co-founder A-Grade Investments)</v>
      </c>
      <c r="G818" s="60">
        <f>IFERROR(__xludf.DUMMYFUNCTION("""COMPUTED_VALUE"""),3.45023329E8)</f>
        <v>345023329</v>
      </c>
      <c r="H818" s="60">
        <f>IFERROR(__xludf.DUMMYFUNCTION("""COMPUTED_VALUE"""),3.4638E8)</f>
        <v>346380000</v>
      </c>
      <c r="I818" s="66">
        <f>IFERROR(__xludf.DUMMYFUNCTION("""COMPUTED_VALUE"""),10.04)</f>
        <v>10.04</v>
      </c>
      <c r="J818" s="62"/>
      <c r="K818" s="59">
        <f>IFERROR(__xludf.DUMMYFUNCTION("""COMPUTED_VALUE"""),10.31)</f>
        <v>10.31</v>
      </c>
      <c r="L818" s="87">
        <f>IFERROR(__xludf.DUMMYFUNCTION("""COMPUTED_VALUE"""),1.11)</f>
        <v>1.11</v>
      </c>
      <c r="M818" s="64" t="str">
        <f>IFERROR(__xludf.DUMMYFUNCTION("""COMPUTED_VALUE"""),"U: [1/3 W]; W: [1:1, $11.5]")</f>
        <v>U: [1/3 W]; W: [1:1, $11.5]</v>
      </c>
      <c r="N818" s="65" t="str">
        <f>IFERROR(__xludf.DUMMYFUNCTION("""COMPUTED_VALUE"""),"")</f>
        <v/>
      </c>
      <c r="O818" s="66">
        <f>IFERROR(__xludf.DUMMYFUNCTION("""COMPUTED_VALUE"""),0.0)</f>
        <v>0</v>
      </c>
      <c r="P818" s="67">
        <f>IFERROR(__xludf.DUMMYFUNCTION("""COMPUTED_VALUE"""),44047.0)</f>
        <v>44047</v>
      </c>
      <c r="Q818" s="68">
        <f>IFERROR(__xludf.DUMMYFUNCTION("""COMPUTED_VALUE"""),345.0)</f>
        <v>345</v>
      </c>
      <c r="R818" s="69" t="str">
        <f>IFERROR(__xludf.DUMMYFUNCTION("""COMPUTED_VALUE"""),"Citigroup")</f>
        <v>Citigroup</v>
      </c>
      <c r="S818" s="64">
        <f>IFERROR(__xludf.DUMMYFUNCTION("""COMPUTED_VALUE"""),44777.0)</f>
        <v>44777</v>
      </c>
      <c r="T818" s="70">
        <f>IFERROR(__xludf.DUMMYFUNCTION("""COMPUTED_VALUE"""),0.3410958904109589)</f>
        <v>0.3410958904</v>
      </c>
      <c r="U818" s="71" t="str">
        <f>IFERROR(__xludf.DUMMYFUNCTION("""COMPUTED_VALUE"""),"https://www.sec.gov/cgi-bin/browse-edgar?CIK=1815302")</f>
        <v>https://www.sec.gov/cgi-bin/browse-edgar?CIK=1815302</v>
      </c>
      <c r="V818" s="72" t="str">
        <f>IFERROR(__xludf.DUMMYFUNCTION("""COMPUTED_VALUE"""),"         Well-known Sponsor  Top Tier UW ")</f>
        <v>         Well-known Sponsor  Top Tier UW </v>
      </c>
      <c r="W818" s="73"/>
      <c r="X818" s="74"/>
      <c r="Y818" s="75"/>
      <c r="Z818" s="60"/>
      <c r="AA818" s="60"/>
      <c r="AB818" s="60"/>
      <c r="AC818" s="60"/>
      <c r="AD818" s="73"/>
      <c r="AE818" s="73"/>
      <c r="AF818" s="76"/>
      <c r="AG818" s="60" t="str">
        <f>IFERROR(__xludf.DUMMYFUNCTION("""COMPUTED_VALUE"""),"")</f>
        <v/>
      </c>
    </row>
    <row r="819">
      <c r="A819" s="54" t="str">
        <f>IFERROR(__xludf.DUMMYFUNCTION("""COMPUTED_VALUE"""),"YSAC")</f>
        <v>YSAC</v>
      </c>
      <c r="B819" s="55" t="str">
        <f>IFERROR(__xludf.DUMMYFUNCTION("""COMPUTED_VALUE"""),"Yellowstone Acquisition Company")</f>
        <v>Yellowstone Acquisition Company</v>
      </c>
      <c r="C819" s="56" t="str">
        <f>IFERROR(__xludf.DUMMYFUNCTION("""COMPUTED_VALUE"""),"Searching")</f>
        <v>Searching</v>
      </c>
      <c r="D819" s="57" t="str">
        <f>IFERROR(__xludf.DUMMYFUNCTION("""COMPUTED_VALUE"""),"Homebuilding, manufacturing serving the homebuilding market, financial services &amp; commercial real estate")</f>
        <v>Homebuilding, manufacturing serving the homebuilding market, financial services &amp; commercial real estate</v>
      </c>
      <c r="E819" s="58"/>
      <c r="F819" s="59"/>
      <c r="G819" s="60">
        <f>IFERROR(__xludf.DUMMYFUNCTION("""COMPUTED_VALUE"""),1.3598898E8)</f>
        <v>135988980</v>
      </c>
      <c r="H819" s="60">
        <f>IFERROR(__xludf.DUMMYFUNCTION("""COMPUTED_VALUE"""),1.37076892E8)</f>
        <v>137076892</v>
      </c>
      <c r="I819" s="66">
        <f>IFERROR(__xludf.DUMMYFUNCTION("""COMPUTED_VALUE"""),10.08)</f>
        <v>10.08</v>
      </c>
      <c r="J819" s="62">
        <f>IFERROR(__xludf.DUMMYFUNCTION("""COMPUTED_VALUE"""),0.00299)</f>
        <v>0.00299</v>
      </c>
      <c r="K819" s="59">
        <f>IFERROR(__xludf.DUMMYFUNCTION("""COMPUTED_VALUE"""),10.42)</f>
        <v>10.42</v>
      </c>
      <c r="L819" s="87">
        <f>IFERROR(__xludf.DUMMYFUNCTION("""COMPUTED_VALUE"""),0.78)</f>
        <v>0.78</v>
      </c>
      <c r="M819" s="64" t="str">
        <f>IFERROR(__xludf.DUMMYFUNCTION("""COMPUTED_VALUE"""),"U: [1/2 W]; W: [1:1, $11.5]")</f>
        <v>U: [1/2 W]; W: [1:1, $11.5]</v>
      </c>
      <c r="N819" s="65" t="str">
        <f>IFERROR(__xludf.DUMMYFUNCTION("""COMPUTED_VALUE"""),"")</f>
        <v/>
      </c>
      <c r="O819" s="66">
        <f>IFERROR(__xludf.DUMMYFUNCTION("""COMPUTED_VALUE"""),0.0)</f>
        <v>0</v>
      </c>
      <c r="P819" s="67">
        <f>IFERROR(__xludf.DUMMYFUNCTION("""COMPUTED_VALUE"""),44125.0)</f>
        <v>44125</v>
      </c>
      <c r="Q819" s="68">
        <f>IFERROR(__xludf.DUMMYFUNCTION("""COMPUTED_VALUE"""),135.98898)</f>
        <v>135.98898</v>
      </c>
      <c r="R819" s="69" t="str">
        <f>IFERROR(__xludf.DUMMYFUNCTION("""COMPUTED_VALUE"""),"Wells Fargo Securities")</f>
        <v>Wells Fargo Securities</v>
      </c>
      <c r="S819" s="64">
        <f>IFERROR(__xludf.DUMMYFUNCTION("""COMPUTED_VALUE"""),44855.0)</f>
        <v>44855</v>
      </c>
      <c r="T819" s="70">
        <f>IFERROR(__xludf.DUMMYFUNCTION("""COMPUTED_VALUE"""),0.23424657534246576)</f>
        <v>0.2342465753</v>
      </c>
      <c r="U819" s="71" t="str">
        <f>IFERROR(__xludf.DUMMYFUNCTION("""COMPUTED_VALUE"""),"https://www.sec.gov/cgi-bin/browse-edgar?CIK=1823587")</f>
        <v>https://www.sec.gov/cgi-bin/browse-edgar?CIK=1823587</v>
      </c>
      <c r="V819" s="72" t="str">
        <f>IFERROR(__xludf.DUMMYFUNCTION("""COMPUTED_VALUE"""),"            ")</f>
        <v>            </v>
      </c>
      <c r="W819" s="73"/>
      <c r="X819" s="74"/>
      <c r="Y819" s="75"/>
      <c r="Z819" s="60"/>
      <c r="AA819" s="60"/>
      <c r="AB819" s="60"/>
      <c r="AC819" s="60"/>
      <c r="AD819" s="73"/>
      <c r="AE819" s="73"/>
      <c r="AF819" s="76"/>
      <c r="AG819" s="60" t="str">
        <f>IFERROR(__xludf.DUMMYFUNCTION("""COMPUTED_VALUE"""),"")</f>
        <v/>
      </c>
    </row>
    <row r="820">
      <c r="A820" s="88" t="str">
        <f>IFERROR(__xludf.DUMMYFUNCTION("""COMPUTED_VALUE"""),"YTPG")</f>
        <v>YTPG</v>
      </c>
      <c r="B820" s="55" t="str">
        <f>IFERROR(__xludf.DUMMYFUNCTION("""COMPUTED_VALUE"""),"TPG Pace Beneficial II Corp.")</f>
        <v>TPG Pace Beneficial II Corp.</v>
      </c>
      <c r="C820" s="56" t="str">
        <f>IFERROR(__xludf.DUMMYFUNCTION("""COMPUTED_VALUE"""),"Pre IPO")</f>
        <v>Pre IPO</v>
      </c>
      <c r="D820" s="57" t="str">
        <f>IFERROR(__xludf.DUMMYFUNCTION("""COMPUTED_VALUE"""),"ESG")</f>
        <v>ESG</v>
      </c>
      <c r="E820" s="58"/>
      <c r="F820" s="59" t="str">
        <f>IFERROR(__xludf.DUMMYFUNCTION("""COMPUTED_VALUE"""),"Karl Peterson (Senior Partner of TPG and Managing Partner of TPG Pace Group)")</f>
        <v>Karl Peterson (Senior Partner of TPG and Managing Partner of TPG Pace Group)</v>
      </c>
      <c r="G820" s="60">
        <f>IFERROR(__xludf.DUMMYFUNCTION("""COMPUTED_VALUE"""),3.5E8)</f>
        <v>350000000</v>
      </c>
      <c r="H820" s="60" t="str">
        <f>IFERROR(__xludf.DUMMYFUNCTION("""COMPUTED_VALUE""")," ")</f>
        <v> </v>
      </c>
      <c r="I820" s="66" t="str">
        <f>IFERROR(__xludf.DUMMYFUNCTION("""COMPUTED_VALUE""")," ")</f>
        <v> </v>
      </c>
      <c r="J820" s="62" t="str">
        <f>IFERROR(__xludf.DUMMYFUNCTION("""COMPUTED_VALUE""")," ")</f>
        <v> </v>
      </c>
      <c r="K820" s="59" t="str">
        <f>IFERROR(__xludf.DUMMYFUNCTION("""COMPUTED_VALUE""")," ")</f>
        <v> </v>
      </c>
      <c r="L820" s="87" t="str">
        <f>IFERROR(__xludf.DUMMYFUNCTION("""COMPUTED_VALUE""")," ")</f>
        <v> </v>
      </c>
      <c r="M820" s="64" t="str">
        <f>IFERROR(__xludf.DUMMYFUNCTION("""COMPUTED_VALUE"""),"U: [No Units]; W: [No Warrants]")</f>
        <v>U: [No Units]; W: [No Warrants]</v>
      </c>
      <c r="N820" s="65" t="str">
        <f>IFERROR(__xludf.DUMMYFUNCTION("""COMPUTED_VALUE"""),"")</f>
        <v/>
      </c>
      <c r="O820" s="66">
        <f>IFERROR(__xludf.DUMMYFUNCTION("""COMPUTED_VALUE"""),0.0)</f>
        <v>0</v>
      </c>
      <c r="P820" s="67"/>
      <c r="Q820" s="68">
        <f>IFERROR(__xludf.DUMMYFUNCTION("""COMPUTED_VALUE"""),350.0)</f>
        <v>350</v>
      </c>
      <c r="R820" s="69" t="str">
        <f>IFERROR(__xludf.DUMMYFUNCTION("""COMPUTED_VALUE"""),"Deutsche Bank Securities, J.P. Morgan Securities, Goldman Sachs &amp; Co., Northland Securities, Siebert Williams Shank")</f>
        <v>Deutsche Bank Securities, J.P. Morgan Securities, Goldman Sachs &amp; Co., Northland Securities, Siebert Williams Shank</v>
      </c>
      <c r="S820" s="64">
        <f>IFERROR(__xludf.DUMMYFUNCTION("""COMPUTED_VALUE"""),45086.0)</f>
        <v>45086</v>
      </c>
      <c r="T820" s="70" t="str">
        <f>IFERROR(__xludf.DUMMYFUNCTION("""COMPUTED_VALUE"""),"")</f>
        <v/>
      </c>
      <c r="U820" s="71" t="str">
        <f>IFERROR(__xludf.DUMMYFUNCTION("""COMPUTED_VALUE"""),"https://www.sec.gov/cgi-bin/browse-edgar?CIK=1840859")</f>
        <v>https://www.sec.gov/cgi-bin/browse-edgar?CIK=1840859</v>
      </c>
      <c r="V820" s="72" t="str">
        <f>IFERROR(__xludf.DUMMYFUNCTION("""COMPUTED_VALUE"""),"Sustainability         Well-known Sponsor Serial Sponsor Top Tier UW ")</f>
        <v>Sustainability         Well-known Sponsor Serial Sponsor Top Tier UW </v>
      </c>
      <c r="W820" s="73"/>
      <c r="X820" s="74"/>
      <c r="Y820" s="75"/>
      <c r="Z820" s="60"/>
      <c r="AA820" s="60"/>
      <c r="AB820" s="60"/>
      <c r="AC820" s="60"/>
      <c r="AD820" s="73"/>
      <c r="AE820" s="73"/>
      <c r="AF820" s="76"/>
      <c r="AG820" s="60"/>
    </row>
    <row r="821">
      <c r="A821" s="54" t="str">
        <f>IFERROR(__xludf.DUMMYFUNCTION("""COMPUTED_VALUE"""),"ZGYH")</f>
        <v>ZGYH</v>
      </c>
      <c r="B821" s="55" t="str">
        <f>IFERROR(__xludf.DUMMYFUNCTION("""COMPUTED_VALUE"""),"Yunhong International")</f>
        <v>Yunhong International</v>
      </c>
      <c r="C821" s="56" t="str">
        <f>IFERROR(__xludf.DUMMYFUNCTION("""COMPUTED_VALUE"""),"LOI")</f>
        <v>LOI</v>
      </c>
      <c r="D821" s="57" t="str">
        <f>IFERROR(__xludf.DUMMYFUNCTION("""COMPUTED_VALUE"""),"Consumer, Lifestyle, Asia (Excluding China)")</f>
        <v>Consumer, Lifestyle, Asia (Excluding China)</v>
      </c>
      <c r="E821" s="58" t="str">
        <f>IFERROR(__xludf.DUMMYFUNCTION("""COMPUTED_VALUE"""),"Ares Motor Works [Non-Binding LOI 2/16/21]")</f>
        <v>Ares Motor Works [Non-Binding LOI 2/16/21]</v>
      </c>
      <c r="F821" s="59"/>
      <c r="G821" s="60">
        <f>IFERROR(__xludf.DUMMYFUNCTION("""COMPUTED_VALUE"""),6.9053996E7)</f>
        <v>69053996</v>
      </c>
      <c r="H821" s="60">
        <f>IFERROR(__xludf.DUMMYFUNCTION("""COMPUTED_VALUE"""),7.2555975E7)</f>
        <v>72555975</v>
      </c>
      <c r="I821" s="66">
        <f>IFERROR(__xludf.DUMMYFUNCTION("""COMPUTED_VALUE"""),10.05)</f>
        <v>10.05</v>
      </c>
      <c r="J821" s="62">
        <f>IFERROR(__xludf.DUMMYFUNCTION("""COMPUTED_VALUE"""),0.001)</f>
        <v>0.001</v>
      </c>
      <c r="K821" s="59" t="str">
        <f>IFERROR(__xludf.DUMMYFUNCTION("""COMPUTED_VALUE""")," ")</f>
        <v> </v>
      </c>
      <c r="L821" s="87">
        <f>IFERROR(__xludf.DUMMYFUNCTION("""COMPUTED_VALUE"""),0.72)</f>
        <v>0.72</v>
      </c>
      <c r="M821" s="64" t="str">
        <f>IFERROR(__xludf.DUMMYFUNCTION("""COMPUTED_VALUE"""),"U: [1/2 W, 1 R (1/10 sh)]; W: [1:1, $11.5]")</f>
        <v>U: [1/2 W, 1 R (1/10 sh)]; W: [1:1, $11.5]</v>
      </c>
      <c r="N821" s="65" t="str">
        <f>IFERROR(__xludf.DUMMYFUNCTION("""COMPUTED_VALUE"""),"")</f>
        <v/>
      </c>
      <c r="O821" s="66">
        <f>IFERROR(__xludf.DUMMYFUNCTION("""COMPUTED_VALUE"""),0.0)</f>
        <v>0</v>
      </c>
      <c r="P821" s="67">
        <f>IFERROR(__xludf.DUMMYFUNCTION("""COMPUTED_VALUE"""),43874.0)</f>
        <v>43874</v>
      </c>
      <c r="Q821" s="68">
        <f>IFERROR(__xludf.DUMMYFUNCTION("""COMPUTED_VALUE"""),69.0)</f>
        <v>69</v>
      </c>
      <c r="R821" s="69" t="str">
        <f>IFERROR(__xludf.DUMMYFUNCTION("""COMPUTED_VALUE"""),"Maxim")</f>
        <v>Maxim</v>
      </c>
      <c r="S821" s="64">
        <f>IFERROR(__xludf.DUMMYFUNCTION("""COMPUTED_VALUE"""),44334.0)</f>
        <v>44334</v>
      </c>
      <c r="T821" s="70">
        <f>IFERROR(__xludf.DUMMYFUNCTION("""COMPUTED_VALUE"""),0.9173913043478261)</f>
        <v>0.9173913043</v>
      </c>
      <c r="U821" s="71" t="str">
        <f>IFERROR(__xludf.DUMMYFUNCTION("""COMPUTED_VALUE"""),"https://www.sec.gov/cgi-bin/browse-edgar?CIK=1773086")</f>
        <v>https://www.sec.gov/cgi-bin/browse-edgar?CIK=1773086</v>
      </c>
      <c r="V821" s="72" t="str">
        <f>IFERROR(__xludf.DUMMYFUNCTION("""COMPUTED_VALUE"""),"      Deadline Approaching Has Rights     ")</f>
        <v>      Deadline Approaching Has Rights     </v>
      </c>
      <c r="W821" s="73"/>
      <c r="X821" s="74"/>
      <c r="Y821" s="75"/>
      <c r="Z821" s="60"/>
      <c r="AA821" s="60"/>
      <c r="AB821" s="60"/>
      <c r="AC821" s="60"/>
      <c r="AD821" s="73"/>
      <c r="AE821" s="73"/>
      <c r="AF821" s="76"/>
      <c r="AG821" s="60" t="str">
        <f>IFERROR(__xludf.DUMMYFUNCTION("""COMPUTED_VALUE"""),"")</f>
        <v/>
      </c>
    </row>
    <row r="822">
      <c r="A822" s="88" t="str">
        <f>IFERROR(__xludf.DUMMYFUNCTION("""COMPUTED_VALUE"""),"ZING")</f>
        <v>ZING</v>
      </c>
      <c r="B822" s="55" t="str">
        <f>IFERROR(__xludf.DUMMYFUNCTION("""COMPUTED_VALUE"""),"FTAC Zeus Acquisition Corp.")</f>
        <v>FTAC Zeus Acquisition Corp.</v>
      </c>
      <c r="C822" s="56" t="str">
        <f>IFERROR(__xludf.DUMMYFUNCTION("""COMPUTED_VALUE"""),"Pre IPO")</f>
        <v>Pre IPO</v>
      </c>
      <c r="D822" s="77" t="str">
        <f>IFERROR(__xludf.DUMMYFUNCTION("""COMPUTED_VALUE"""),"Tech, Fintech")</f>
        <v>Tech, Fintech</v>
      </c>
      <c r="E822" s="58"/>
      <c r="F822" s="59" t="str">
        <f>IFERROR(__xludf.DUMMYFUNCTION("""COMPUTED_VALUE"""),"Daniel Cohen (Chairman of Cohen &amp; Company and Chairman of The Bancorp)")</f>
        <v>Daniel Cohen (Chairman of Cohen &amp; Company and Chairman of The Bancorp)</v>
      </c>
      <c r="G822" s="60">
        <f>IFERROR(__xludf.DUMMYFUNCTION("""COMPUTED_VALUE"""),4.4E8)</f>
        <v>440000000</v>
      </c>
      <c r="H822" s="60" t="str">
        <f>IFERROR(__xludf.DUMMYFUNCTION("""COMPUTED_VALUE""")," ")</f>
        <v> </v>
      </c>
      <c r="I822" s="66" t="str">
        <f>IFERROR(__xludf.DUMMYFUNCTION("""COMPUTED_VALUE""")," ")</f>
        <v> </v>
      </c>
      <c r="J822" s="62" t="str">
        <f>IFERROR(__xludf.DUMMYFUNCTION("""COMPUTED_VALUE""")," ")</f>
        <v> </v>
      </c>
      <c r="K822" s="59" t="str">
        <f>IFERROR(__xludf.DUMMYFUNCTION("""COMPUTED_VALUE""")," ")</f>
        <v> </v>
      </c>
      <c r="L822" s="87" t="str">
        <f>IFERROR(__xludf.DUMMYFUNCTION("""COMPUTED_VALUE""")," ")</f>
        <v> </v>
      </c>
      <c r="M822" s="64" t="str">
        <f>IFERROR(__xludf.DUMMYFUNCTION("""COMPUTED_VALUE"""),"U: [1/4 W]; W: [1:1, $11.5]")</f>
        <v>U: [1/4 W]; W: [1:1, $11.5]</v>
      </c>
      <c r="N822" s="65" t="str">
        <f>IFERROR(__xludf.DUMMYFUNCTION("""COMPUTED_VALUE"""),"")</f>
        <v/>
      </c>
      <c r="O822" s="66">
        <f>IFERROR(__xludf.DUMMYFUNCTION("""COMPUTED_VALUE"""),0.0)</f>
        <v>0</v>
      </c>
      <c r="P822" s="67"/>
      <c r="Q822" s="68">
        <f>IFERROR(__xludf.DUMMYFUNCTION("""COMPUTED_VALUE"""),440.0)</f>
        <v>440</v>
      </c>
      <c r="R822" s="69" t="str">
        <f>IFERROR(__xludf.DUMMYFUNCTION("""COMPUTED_VALUE"""),"Morgan Stanley")</f>
        <v>Morgan Stanley</v>
      </c>
      <c r="S822" s="64">
        <f>IFERROR(__xludf.DUMMYFUNCTION("""COMPUTED_VALUE"""),45086.0)</f>
        <v>45086</v>
      </c>
      <c r="T822" s="70" t="str">
        <f>IFERROR(__xludf.DUMMYFUNCTION("""COMPUTED_VALUE"""),"")</f>
        <v/>
      </c>
      <c r="U822" s="71" t="str">
        <f>IFERROR(__xludf.DUMMYFUNCTION("""COMPUTED_VALUE"""),"https://www.sec.gov/cgi-bin/browse-edgar?CIK=1844270")</f>
        <v>https://www.sec.gov/cgi-bin/browse-edgar?CIK=1844270</v>
      </c>
      <c r="V822" s="72" t="str">
        <f>IFERROR(__xludf.DUMMYFUNCTION("""COMPUTED_VALUE"""),"          Serial Sponsor Top Tier UW ")</f>
        <v>          Serial Sponsor Top Tier UW </v>
      </c>
      <c r="W822" s="73"/>
      <c r="X822" s="74"/>
      <c r="Y822" s="75"/>
      <c r="Z822" s="60"/>
      <c r="AA822" s="60"/>
      <c r="AB822" s="60"/>
      <c r="AC822" s="60"/>
      <c r="AD822" s="73"/>
      <c r="AE822" s="73"/>
      <c r="AF822" s="76"/>
      <c r="AG822" s="60"/>
    </row>
    <row r="823">
      <c r="A823" s="54" t="str">
        <f>IFERROR(__xludf.DUMMYFUNCTION("""COMPUTED_VALUE"""),"ZNTE")</f>
        <v>ZNTE</v>
      </c>
      <c r="B823" s="55" t="str">
        <f>IFERROR(__xludf.DUMMYFUNCTION("""COMPUTED_VALUE"""),"Zanite Acquisition Corp")</f>
        <v>Zanite Acquisition Corp</v>
      </c>
      <c r="C823" s="56" t="str">
        <f>IFERROR(__xludf.DUMMYFUNCTION("""COMPUTED_VALUE"""),"Searching")</f>
        <v>Searching</v>
      </c>
      <c r="D823" s="57" t="str">
        <f>IFERROR(__xludf.DUMMYFUNCTION("""COMPUTED_VALUE"""),"Aerospace &amp; Defense, Urban Mobility and Emerging Technology, Sustainable aviation")</f>
        <v>Aerospace &amp; Defense, Urban Mobility and Emerging Technology, Sustainable aviation</v>
      </c>
      <c r="E823" s="58"/>
      <c r="F823" s="59" t="str">
        <f>IFERROR(__xludf.DUMMYFUNCTION("""COMPUTED_VALUE"""),"Kenneth Ricci (Principal, Directional Aviation Capital), John Veihmeyer (Fmr Global Chairman, KPMG International; Director, Ford Motor), Larry Flynn (Fmr President, Gulfstream Aerospace), Advisor: Ronald Sugar (Fmr Chairman/CEO, Northrop Grumman; Chairman"&amp;", Uber; Director of Apple, Chevron, Amgen)")</f>
        <v>Kenneth Ricci (Principal, Directional Aviation Capital), John Veihmeyer (Fmr Global Chairman, KPMG International; Director, Ford Motor), Larry Flynn (Fmr President, Gulfstream Aerospace), Advisor: Ronald Sugar (Fmr Chairman/CEO, Northrop Grumman; Chairman, Uber; Director of Apple, Chevron, Amgen)</v>
      </c>
      <c r="G823" s="60">
        <f>IFERROR(__xludf.DUMMYFUNCTION("""COMPUTED_VALUE"""),2.32302673E8)</f>
        <v>232302673</v>
      </c>
      <c r="H823" s="60">
        <f>IFERROR(__xludf.DUMMYFUNCTION("""COMPUTED_VALUE"""),2.3207E8)</f>
        <v>232070000</v>
      </c>
      <c r="I823" s="66">
        <f>IFERROR(__xludf.DUMMYFUNCTION("""COMPUTED_VALUE"""),10.09)</f>
        <v>10.09</v>
      </c>
      <c r="J823" s="62">
        <f>IFERROR(__xludf.DUMMYFUNCTION("""COMPUTED_VALUE"""),9.9E-4)</f>
        <v>0.00099</v>
      </c>
      <c r="K823" s="59">
        <f>IFERROR(__xludf.DUMMYFUNCTION("""COMPUTED_VALUE"""),10.73)</f>
        <v>10.73</v>
      </c>
      <c r="L823" s="87">
        <f>IFERROR(__xludf.DUMMYFUNCTION("""COMPUTED_VALUE"""),1.4299)</f>
        <v>1.4299</v>
      </c>
      <c r="M823" s="64" t="str">
        <f>IFERROR(__xludf.DUMMYFUNCTION("""COMPUTED_VALUE"""),"U: [1/2 W]; W: [1:1, $11.5]")</f>
        <v>U: [1/2 W]; W: [1:1, $11.5]</v>
      </c>
      <c r="N823" s="65" t="str">
        <f>IFERROR(__xludf.DUMMYFUNCTION("""COMPUTED_VALUE"""),"")</f>
        <v/>
      </c>
      <c r="O823" s="66">
        <f>IFERROR(__xludf.DUMMYFUNCTION("""COMPUTED_VALUE"""),0.0)</f>
        <v>0</v>
      </c>
      <c r="P823" s="67">
        <f>IFERROR(__xludf.DUMMYFUNCTION("""COMPUTED_VALUE"""),44151.0)</f>
        <v>44151</v>
      </c>
      <c r="Q823" s="68">
        <f>IFERROR(__xludf.DUMMYFUNCTION("""COMPUTED_VALUE"""),232.3)</f>
        <v>232.3</v>
      </c>
      <c r="R823" s="69" t="str">
        <f>IFERROR(__xludf.DUMMYFUNCTION("""COMPUTED_VALUE"""),"BTIG")</f>
        <v>BTIG</v>
      </c>
      <c r="S823" s="64">
        <f>IFERROR(__xludf.DUMMYFUNCTION("""COMPUTED_VALUE"""),44333.5)</f>
        <v>44333.5</v>
      </c>
      <c r="T823" s="70">
        <f>IFERROR(__xludf.DUMMYFUNCTION("""COMPUTED_VALUE"""),0.7945205479452054)</f>
        <v>0.7945205479</v>
      </c>
      <c r="U823" s="71" t="str">
        <f>IFERROR(__xludf.DUMMYFUNCTION("""COMPUTED_VALUE"""),"https://www.sec.gov/cgi-bin/browse-edgar?CIK=1823652")</f>
        <v>https://www.sec.gov/cgi-bin/browse-edgar?CIK=1823652</v>
      </c>
      <c r="V823" s="72" t="str">
        <f>IFERROR(__xludf.DUMMYFUNCTION("""COMPUTED_VALUE"""),"Aerospace     Optionable Deadline Approaching   Well-known Sponsor   ")</f>
        <v>Aerospace     Optionable Deadline Approaching   Well-known Sponsor   </v>
      </c>
      <c r="W823" s="73"/>
      <c r="X823" s="74"/>
      <c r="Y823" s="75"/>
      <c r="Z823" s="60"/>
      <c r="AA823" s="60"/>
      <c r="AB823" s="60"/>
      <c r="AC823" s="60"/>
      <c r="AD823" s="73"/>
      <c r="AE823" s="73"/>
      <c r="AF823" s="76"/>
      <c r="AG823" s="60" t="str">
        <f>IFERROR(__xludf.DUMMYFUNCTION("""COMPUTED_VALUE"""),"")</f>
        <v/>
      </c>
    </row>
    <row r="824">
      <c r="A824" s="88" t="str">
        <f>IFERROR(__xludf.DUMMYFUNCTION("""COMPUTED_VALUE"""),"ZT")</f>
        <v>ZT</v>
      </c>
      <c r="B824" s="55" t="str">
        <f>IFERROR(__xludf.DUMMYFUNCTION("""COMPUTED_VALUE"""),"Zimmer Energy Transition Acquisition Corp.")</f>
        <v>Zimmer Energy Transition Acquisition Corp.</v>
      </c>
      <c r="C824" s="56" t="str">
        <f>IFERROR(__xludf.DUMMYFUNCTION("""COMPUTED_VALUE"""),"Pre IPO")</f>
        <v>Pre IPO</v>
      </c>
      <c r="D824" s="77" t="str">
        <f>IFERROR(__xludf.DUMMYFUNCTION("""COMPUTED_VALUE"""),"Energy Transition, Sustainability")</f>
        <v>Energy Transition, Sustainability</v>
      </c>
      <c r="E824" s="58"/>
      <c r="F824" s="59" t="str">
        <f>IFERROR(__xludf.DUMMYFUNCTION("""COMPUTED_VALUE"""),"C. John Wilder (Former CEO, Shell Capital; Former CEO, TXU Corp)")</f>
        <v>C. John Wilder (Former CEO, Shell Capital; Former CEO, TXU Corp)</v>
      </c>
      <c r="G824" s="60">
        <f>IFERROR(__xludf.DUMMYFUNCTION("""COMPUTED_VALUE"""),3.5E8)</f>
        <v>350000000</v>
      </c>
      <c r="H824" s="60" t="str">
        <f>IFERROR(__xludf.DUMMYFUNCTION("""COMPUTED_VALUE""")," ")</f>
        <v> </v>
      </c>
      <c r="I824" s="66" t="str">
        <f>IFERROR(__xludf.DUMMYFUNCTION("""COMPUTED_VALUE""")," ")</f>
        <v> </v>
      </c>
      <c r="J824" s="62" t="str">
        <f>IFERROR(__xludf.DUMMYFUNCTION("""COMPUTED_VALUE""")," ")</f>
        <v> </v>
      </c>
      <c r="K824" s="59" t="str">
        <f>IFERROR(__xludf.DUMMYFUNCTION("""COMPUTED_VALUE""")," ")</f>
        <v> </v>
      </c>
      <c r="L824" s="87" t="str">
        <f>IFERROR(__xludf.DUMMYFUNCTION("""COMPUTED_VALUE""")," ")</f>
        <v> </v>
      </c>
      <c r="M824" s="64" t="str">
        <f>IFERROR(__xludf.DUMMYFUNCTION("""COMPUTED_VALUE"""),"U: [1/3 W]; W: [1:1, $11.5]")</f>
        <v>U: [1/3 W]; W: [1:1, $11.5]</v>
      </c>
      <c r="N824" s="65" t="str">
        <f>IFERROR(__xludf.DUMMYFUNCTION("""COMPUTED_VALUE"""),"")</f>
        <v/>
      </c>
      <c r="O824" s="66">
        <f>IFERROR(__xludf.DUMMYFUNCTION("""COMPUTED_VALUE"""),0.0)</f>
        <v>0</v>
      </c>
      <c r="P824" s="67"/>
      <c r="Q824" s="68">
        <f>IFERROR(__xludf.DUMMYFUNCTION("""COMPUTED_VALUE"""),350.0)</f>
        <v>350</v>
      </c>
      <c r="R824" s="69" t="str">
        <f>IFERROR(__xludf.DUMMYFUNCTION("""COMPUTED_VALUE"""),"Citigroup, Barclays	")</f>
        <v>Citigroup, Barclays	</v>
      </c>
      <c r="S824" s="64">
        <f>IFERROR(__xludf.DUMMYFUNCTION("""COMPUTED_VALUE"""),45086.0)</f>
        <v>45086</v>
      </c>
      <c r="T824" s="70" t="str">
        <f>IFERROR(__xludf.DUMMYFUNCTION("""COMPUTED_VALUE"""),"")</f>
        <v/>
      </c>
      <c r="U824" s="71" t="str">
        <f>IFERROR(__xludf.DUMMYFUNCTION("""COMPUTED_VALUE"""),"https://www.sec.gov/cgi-bin/browse-edgar?CIK=1849408")</f>
        <v>https://www.sec.gov/cgi-bin/browse-edgar?CIK=1849408</v>
      </c>
      <c r="V824" s="72" t="str">
        <f>IFERROR(__xludf.DUMMYFUNCTION("""COMPUTED_VALUE"""),"           Top Tier UW ")</f>
        <v>           Top Tier UW </v>
      </c>
      <c r="W824" s="73"/>
      <c r="X824" s="74"/>
      <c r="Y824" s="75"/>
      <c r="Z824" s="60"/>
      <c r="AA824" s="60"/>
      <c r="AB824" s="60"/>
      <c r="AC824" s="60"/>
      <c r="AD824" s="73"/>
      <c r="AE824" s="73"/>
      <c r="AF824" s="76"/>
      <c r="AG824" s="60"/>
    </row>
    <row r="825">
      <c r="A825" s="54" t="str">
        <f>IFERROR(__xludf.DUMMYFUNCTION("""COMPUTED_VALUE"""),"ZWRK")</f>
        <v>ZWRK</v>
      </c>
      <c r="B825" s="55" t="str">
        <f>IFERROR(__xludf.DUMMYFUNCTION("""COMPUTED_VALUE"""),"Z-Work Acquisition Corp.")</f>
        <v>Z-Work Acquisition Corp.</v>
      </c>
      <c r="C825" s="56" t="str">
        <f>IFERROR(__xludf.DUMMYFUNCTION("""COMPUTED_VALUE"""),"Searching")</f>
        <v>Searching</v>
      </c>
      <c r="D825" s="57" t="str">
        <f>IFERROR(__xludf.DUMMYFUNCTION("""COMPUTED_VALUE"""),"Tech")</f>
        <v>Tech</v>
      </c>
      <c r="E825" s="58"/>
      <c r="F825" s="59" t="str">
        <f>IFERROR(__xludf.DUMMYFUNCTION("""COMPUTED_VALUE"""),"Chris Terrill (Fmr CEO, ANGI Homeservices), Tom GLover (Fmr CEO, Thomson Reuters; Director, Merck, Morgan Stanley), Duncan Niederauer (Fmr CEO, NYSE Euronext), Mandy Ginsberg (Fmr CEO, Match Group; Director, Uber and JC Penney)")</f>
        <v>Chris Terrill (Fmr CEO, ANGI Homeservices), Tom GLover (Fmr CEO, Thomson Reuters; Director, Merck, Morgan Stanley), Duncan Niederauer (Fmr CEO, NYSE Euronext), Mandy Ginsberg (Fmr CEO, Match Group; Director, Uber and JC Penney)</v>
      </c>
      <c r="G825" s="60">
        <f>IFERROR(__xludf.DUMMYFUNCTION("""COMPUTED_VALUE"""),2.3E8)</f>
        <v>230000000</v>
      </c>
      <c r="H825" s="60">
        <f>IFERROR(__xludf.DUMMYFUNCTION("""COMPUTED_VALUE"""),2.2517E8)</f>
        <v>225170000</v>
      </c>
      <c r="I825" s="66">
        <f>IFERROR(__xludf.DUMMYFUNCTION("""COMPUTED_VALUE"""),9.79)</f>
        <v>9.79</v>
      </c>
      <c r="J825" s="62">
        <f>IFERROR(__xludf.DUMMYFUNCTION("""COMPUTED_VALUE"""),-0.00102)</f>
        <v>-0.00102</v>
      </c>
      <c r="K825" s="59">
        <f>IFERROR(__xludf.DUMMYFUNCTION("""COMPUTED_VALUE"""),10.0)</f>
        <v>10</v>
      </c>
      <c r="L825" s="87">
        <f>IFERROR(__xludf.DUMMYFUNCTION("""COMPUTED_VALUE"""),0.95)</f>
        <v>0.95</v>
      </c>
      <c r="M825" s="64" t="str">
        <f>IFERROR(__xludf.DUMMYFUNCTION("""COMPUTED_VALUE"""),"U: [1/3 W]; W: [1:1, $11.5]")</f>
        <v>U: [1/3 W]; W: [1:1, $11.5]</v>
      </c>
      <c r="N825" s="65">
        <f>IFERROR(__xludf.DUMMYFUNCTION("""COMPUTED_VALUE"""),44277.0)</f>
        <v>44277</v>
      </c>
      <c r="O825" s="66">
        <f>IFERROR(__xludf.DUMMYFUNCTION("""COMPUTED_VALUE"""),0.0)</f>
        <v>0</v>
      </c>
      <c r="P825" s="67">
        <f>IFERROR(__xludf.DUMMYFUNCTION("""COMPUTED_VALUE"""),44224.0)</f>
        <v>44224</v>
      </c>
      <c r="Q825" s="68">
        <f>IFERROR(__xludf.DUMMYFUNCTION("""COMPUTED_VALUE"""),230.0)</f>
        <v>230</v>
      </c>
      <c r="R825" s="85" t="str">
        <f>IFERROR(__xludf.DUMMYFUNCTION("""COMPUTED_VALUE"""),"Jefferies")</f>
        <v>Jefferies</v>
      </c>
      <c r="S825" s="64">
        <f>IFERROR(__xludf.DUMMYFUNCTION("""COMPUTED_VALUE"""),44954.0)</f>
        <v>44954</v>
      </c>
      <c r="T825" s="70">
        <f>IFERROR(__xludf.DUMMYFUNCTION("""COMPUTED_VALUE"""),0.09863013698630137)</f>
        <v>0.09863013699</v>
      </c>
      <c r="U825" s="71" t="str">
        <f>IFERROR(__xludf.DUMMYFUNCTION("""COMPUTED_VALUE"""),"https://www.sec.gov/cgi-bin/browse-edgar?CIK=1828438")</f>
        <v>https://www.sec.gov/cgi-bin/browse-edgar?CIK=1828438</v>
      </c>
      <c r="V825" s="72" t="str">
        <f>IFERROR(__xludf.DUMMYFUNCTION("""COMPUTED_VALUE""")," Trading Below $10 (Common)        Well-known Sponsor   ")</f>
        <v> Trading Below $10 (Common)        Well-known Sponsor   </v>
      </c>
      <c r="W825" s="73"/>
      <c r="X825" s="74"/>
      <c r="Y825" s="75"/>
      <c r="Z825" s="60"/>
      <c r="AA825" s="60"/>
      <c r="AB825" s="60"/>
      <c r="AC825" s="60"/>
      <c r="AD825" s="73"/>
      <c r="AE825" s="73"/>
      <c r="AF825" s="76"/>
      <c r="AG825" s="60" t="str">
        <f>IFERROR(__xludf.DUMMYFUNCTION("""COMPUTED_VALUE"""),"")</f>
        <v/>
      </c>
    </row>
    <row r="826">
      <c r="A826" s="88"/>
      <c r="B826" s="55"/>
      <c r="C826" s="56"/>
      <c r="D826" s="57"/>
      <c r="E826" s="58"/>
      <c r="F826" s="59"/>
      <c r="G826" s="60"/>
      <c r="H826" s="60"/>
      <c r="I826" s="90"/>
      <c r="J826" s="62"/>
      <c r="K826" s="59"/>
      <c r="L826" s="69"/>
      <c r="M826" s="74"/>
      <c r="N826" s="69"/>
      <c r="O826" s="66"/>
      <c r="P826" s="67"/>
      <c r="Q826" s="68"/>
      <c r="R826" s="69"/>
      <c r="S826" s="74"/>
      <c r="T826" s="69"/>
      <c r="U826" s="91"/>
      <c r="V826" s="72"/>
      <c r="W826" s="73"/>
      <c r="X826" s="74"/>
      <c r="Y826" s="75"/>
      <c r="Z826" s="60"/>
      <c r="AA826" s="60"/>
      <c r="AB826" s="60"/>
      <c r="AC826" s="60"/>
      <c r="AD826" s="73"/>
      <c r="AE826" s="73"/>
      <c r="AF826" s="76"/>
      <c r="AG826" s="60"/>
    </row>
    <row r="827">
      <c r="A827" s="88"/>
      <c r="B827" s="55"/>
      <c r="C827" s="56"/>
      <c r="D827" s="57"/>
      <c r="E827" s="58"/>
      <c r="F827" s="59"/>
      <c r="G827" s="60"/>
      <c r="H827" s="60"/>
      <c r="I827" s="90"/>
      <c r="J827" s="62"/>
      <c r="K827" s="59"/>
      <c r="L827" s="69"/>
      <c r="M827" s="74"/>
      <c r="N827" s="69"/>
      <c r="O827" s="66"/>
      <c r="P827" s="67"/>
      <c r="Q827" s="68"/>
      <c r="R827" s="69"/>
      <c r="S827" s="74"/>
      <c r="T827" s="69"/>
      <c r="U827" s="91"/>
      <c r="V827" s="72"/>
      <c r="W827" s="73"/>
      <c r="X827" s="74"/>
      <c r="Y827" s="75"/>
      <c r="Z827" s="60"/>
      <c r="AA827" s="60"/>
      <c r="AB827" s="60"/>
      <c r="AC827" s="60"/>
      <c r="AD827" s="73"/>
      <c r="AE827" s="73"/>
      <c r="AF827" s="76"/>
      <c r="AG827" s="60"/>
    </row>
    <row r="828">
      <c r="A828" s="88"/>
      <c r="B828" s="55"/>
      <c r="C828" s="56"/>
      <c r="D828" s="57"/>
      <c r="E828" s="58"/>
      <c r="F828" s="59"/>
      <c r="G828" s="60"/>
      <c r="H828" s="60"/>
      <c r="I828" s="90"/>
      <c r="J828" s="62"/>
      <c r="K828" s="59"/>
      <c r="L828" s="69"/>
      <c r="M828" s="74"/>
      <c r="N828" s="69"/>
      <c r="O828" s="66"/>
      <c r="P828" s="67"/>
      <c r="Q828" s="68"/>
      <c r="R828" s="69"/>
      <c r="S828" s="74"/>
      <c r="T828" s="69"/>
      <c r="U828" s="91"/>
      <c r="V828" s="72"/>
      <c r="W828" s="73"/>
      <c r="X828" s="74"/>
      <c r="Y828" s="75"/>
      <c r="Z828" s="60"/>
      <c r="AA828" s="60"/>
      <c r="AB828" s="60"/>
      <c r="AC828" s="60"/>
      <c r="AD828" s="73"/>
      <c r="AE828" s="73"/>
      <c r="AF828" s="76"/>
      <c r="AG828" s="60"/>
    </row>
    <row r="829">
      <c r="A829" s="88"/>
      <c r="B829" s="55"/>
      <c r="C829" s="56"/>
      <c r="D829" s="57"/>
      <c r="E829" s="58"/>
      <c r="F829" s="59"/>
      <c r="G829" s="60"/>
      <c r="H829" s="60"/>
      <c r="I829" s="90"/>
      <c r="J829" s="62"/>
      <c r="K829" s="59"/>
      <c r="L829" s="69"/>
      <c r="M829" s="74"/>
      <c r="N829" s="69"/>
      <c r="O829" s="66"/>
      <c r="P829" s="67"/>
      <c r="Q829" s="68"/>
      <c r="R829" s="69"/>
      <c r="S829" s="74"/>
      <c r="T829" s="69"/>
      <c r="U829" s="91"/>
      <c r="V829" s="72"/>
      <c r="W829" s="73"/>
      <c r="X829" s="74"/>
      <c r="Y829" s="75"/>
      <c r="Z829" s="60"/>
      <c r="AA829" s="60"/>
      <c r="AB829" s="60"/>
      <c r="AC829" s="60"/>
      <c r="AD829" s="73"/>
      <c r="AE829" s="73"/>
      <c r="AF829" s="76"/>
      <c r="AG829" s="60"/>
    </row>
    <row r="830">
      <c r="A830" s="88"/>
      <c r="B830" s="55"/>
      <c r="C830" s="56"/>
      <c r="D830" s="57"/>
      <c r="E830" s="58"/>
      <c r="F830" s="59"/>
      <c r="G830" s="60"/>
      <c r="H830" s="60"/>
      <c r="I830" s="90"/>
      <c r="J830" s="62"/>
      <c r="K830" s="59"/>
      <c r="L830" s="69"/>
      <c r="M830" s="74"/>
      <c r="N830" s="69"/>
      <c r="O830" s="66"/>
      <c r="P830" s="67"/>
      <c r="Q830" s="68"/>
      <c r="R830" s="69"/>
      <c r="S830" s="74"/>
      <c r="T830" s="69"/>
      <c r="U830" s="91"/>
      <c r="V830" s="72"/>
      <c r="W830" s="73"/>
      <c r="X830" s="74"/>
      <c r="Y830" s="75"/>
      <c r="Z830" s="60"/>
      <c r="AA830" s="60"/>
      <c r="AB830" s="60"/>
      <c r="AC830" s="60"/>
      <c r="AD830" s="73"/>
      <c r="AE830" s="73"/>
      <c r="AF830" s="76"/>
      <c r="AG830" s="60"/>
    </row>
    <row r="831">
      <c r="A831" s="88"/>
      <c r="B831" s="55"/>
      <c r="C831" s="56"/>
      <c r="D831" s="57"/>
      <c r="E831" s="58"/>
      <c r="F831" s="59"/>
      <c r="G831" s="60"/>
      <c r="H831" s="60"/>
      <c r="I831" s="90"/>
      <c r="J831" s="62"/>
      <c r="K831" s="59"/>
      <c r="L831" s="69"/>
      <c r="M831" s="74"/>
      <c r="N831" s="69"/>
      <c r="O831" s="66"/>
      <c r="P831" s="67"/>
      <c r="Q831" s="68"/>
      <c r="R831" s="69"/>
      <c r="S831" s="74"/>
      <c r="T831" s="69"/>
      <c r="U831" s="91"/>
      <c r="V831" s="72"/>
      <c r="W831" s="73"/>
      <c r="X831" s="74"/>
      <c r="Y831" s="75"/>
      <c r="Z831" s="60"/>
      <c r="AA831" s="60"/>
      <c r="AB831" s="60"/>
      <c r="AC831" s="60"/>
      <c r="AD831" s="73"/>
      <c r="AE831" s="73"/>
      <c r="AF831" s="76"/>
      <c r="AG831" s="60"/>
    </row>
    <row r="832">
      <c r="A832" s="88"/>
      <c r="B832" s="55"/>
      <c r="C832" s="56"/>
      <c r="D832" s="57"/>
      <c r="E832" s="58"/>
      <c r="F832" s="59"/>
      <c r="G832" s="60"/>
      <c r="H832" s="60"/>
      <c r="I832" s="90"/>
      <c r="J832" s="62"/>
      <c r="K832" s="59"/>
      <c r="L832" s="69"/>
      <c r="M832" s="74"/>
      <c r="N832" s="69"/>
      <c r="O832" s="66"/>
      <c r="P832" s="67"/>
      <c r="Q832" s="68"/>
      <c r="R832" s="69"/>
      <c r="S832" s="74"/>
      <c r="T832" s="69"/>
      <c r="U832" s="91"/>
      <c r="V832" s="72"/>
      <c r="W832" s="73"/>
      <c r="X832" s="74"/>
      <c r="Y832" s="75"/>
      <c r="Z832" s="60"/>
      <c r="AA832" s="60"/>
      <c r="AB832" s="60"/>
      <c r="AC832" s="60"/>
      <c r="AD832" s="73"/>
      <c r="AE832" s="73"/>
      <c r="AF832" s="76"/>
      <c r="AG832" s="60"/>
    </row>
    <row r="833">
      <c r="A833" s="88"/>
      <c r="B833" s="55"/>
      <c r="C833" s="56"/>
      <c r="D833" s="57"/>
      <c r="E833" s="58"/>
      <c r="F833" s="59"/>
      <c r="G833" s="60"/>
      <c r="H833" s="60"/>
      <c r="I833" s="90"/>
      <c r="J833" s="62"/>
      <c r="K833" s="59"/>
      <c r="L833" s="69"/>
      <c r="M833" s="74"/>
      <c r="N833" s="69"/>
      <c r="O833" s="66"/>
      <c r="P833" s="67"/>
      <c r="Q833" s="68"/>
      <c r="R833" s="69"/>
      <c r="S833" s="74"/>
      <c r="T833" s="69"/>
      <c r="U833" s="91"/>
      <c r="V833" s="72"/>
      <c r="W833" s="73"/>
      <c r="X833" s="74"/>
      <c r="Y833" s="75"/>
      <c r="Z833" s="60"/>
      <c r="AA833" s="60"/>
      <c r="AB833" s="60"/>
      <c r="AC833" s="60"/>
      <c r="AD833" s="73"/>
      <c r="AE833" s="73"/>
      <c r="AF833" s="76"/>
      <c r="AG833" s="60"/>
    </row>
    <row r="834">
      <c r="A834" s="88"/>
      <c r="B834" s="55"/>
      <c r="C834" s="56"/>
      <c r="D834" s="57"/>
      <c r="E834" s="58"/>
      <c r="F834" s="59"/>
      <c r="G834" s="60"/>
      <c r="H834" s="60"/>
      <c r="I834" s="90"/>
      <c r="J834" s="62"/>
      <c r="K834" s="59"/>
      <c r="L834" s="69"/>
      <c r="M834" s="74"/>
      <c r="N834" s="69"/>
      <c r="O834" s="66"/>
      <c r="P834" s="67"/>
      <c r="Q834" s="68"/>
      <c r="R834" s="69"/>
      <c r="S834" s="74"/>
      <c r="T834" s="69"/>
      <c r="U834" s="91"/>
      <c r="V834" s="72"/>
      <c r="W834" s="73"/>
      <c r="X834" s="74"/>
      <c r="Y834" s="75"/>
      <c r="Z834" s="60"/>
      <c r="AA834" s="60"/>
      <c r="AB834" s="60"/>
      <c r="AC834" s="60"/>
      <c r="AD834" s="73"/>
      <c r="AE834" s="73"/>
      <c r="AF834" s="76"/>
      <c r="AG834" s="60"/>
    </row>
    <row r="835">
      <c r="A835" s="88"/>
      <c r="B835" s="55"/>
      <c r="C835" s="56"/>
      <c r="D835" s="57"/>
      <c r="E835" s="58"/>
      <c r="F835" s="59"/>
      <c r="G835" s="60"/>
      <c r="H835" s="60"/>
      <c r="I835" s="90"/>
      <c r="J835" s="62"/>
      <c r="K835" s="59"/>
      <c r="L835" s="69"/>
      <c r="M835" s="74"/>
      <c r="N835" s="69"/>
      <c r="O835" s="66"/>
      <c r="P835" s="67"/>
      <c r="Q835" s="68"/>
      <c r="R835" s="69"/>
      <c r="S835" s="74"/>
      <c r="T835" s="69"/>
      <c r="U835" s="91"/>
      <c r="V835" s="72"/>
      <c r="W835" s="73"/>
      <c r="X835" s="74"/>
      <c r="Y835" s="75"/>
      <c r="Z835" s="60"/>
      <c r="AA835" s="60"/>
      <c r="AB835" s="60"/>
      <c r="AC835" s="60"/>
      <c r="AD835" s="73"/>
      <c r="AE835" s="73"/>
      <c r="AF835" s="76"/>
      <c r="AG835" s="60"/>
    </row>
    <row r="836">
      <c r="A836" s="88"/>
      <c r="B836" s="55"/>
      <c r="C836" s="56"/>
      <c r="D836" s="57"/>
      <c r="E836" s="58"/>
      <c r="F836" s="59"/>
      <c r="G836" s="60"/>
      <c r="H836" s="60"/>
      <c r="I836" s="90"/>
      <c r="J836" s="62"/>
      <c r="K836" s="59"/>
      <c r="L836" s="69"/>
      <c r="M836" s="74"/>
      <c r="N836" s="69"/>
      <c r="O836" s="66"/>
      <c r="P836" s="67"/>
      <c r="Q836" s="68"/>
      <c r="R836" s="69"/>
      <c r="S836" s="74"/>
      <c r="T836" s="69"/>
      <c r="U836" s="91"/>
      <c r="V836" s="72"/>
      <c r="W836" s="73"/>
      <c r="X836" s="74"/>
      <c r="Y836" s="75"/>
      <c r="Z836" s="60"/>
      <c r="AA836" s="60"/>
      <c r="AB836" s="60"/>
      <c r="AC836" s="60"/>
      <c r="AD836" s="73"/>
      <c r="AE836" s="73"/>
      <c r="AF836" s="76"/>
      <c r="AG836" s="60"/>
    </row>
    <row r="837">
      <c r="A837" s="88"/>
      <c r="B837" s="55"/>
      <c r="C837" s="56"/>
      <c r="D837" s="57"/>
      <c r="E837" s="58"/>
      <c r="F837" s="59"/>
      <c r="G837" s="60"/>
      <c r="H837" s="60"/>
      <c r="I837" s="90"/>
      <c r="J837" s="62"/>
      <c r="K837" s="59"/>
      <c r="L837" s="69"/>
      <c r="M837" s="74"/>
      <c r="N837" s="69"/>
      <c r="O837" s="66"/>
      <c r="P837" s="67"/>
      <c r="Q837" s="68"/>
      <c r="R837" s="69"/>
      <c r="S837" s="74"/>
      <c r="T837" s="69"/>
      <c r="U837" s="91"/>
      <c r="V837" s="72"/>
      <c r="W837" s="73"/>
      <c r="X837" s="74"/>
      <c r="Y837" s="75"/>
      <c r="Z837" s="60"/>
      <c r="AA837" s="60"/>
      <c r="AB837" s="60"/>
      <c r="AC837" s="60"/>
      <c r="AD837" s="73"/>
      <c r="AE837" s="73"/>
      <c r="AF837" s="76"/>
      <c r="AG837" s="60"/>
    </row>
    <row r="838">
      <c r="A838" s="88"/>
      <c r="B838" s="55"/>
      <c r="C838" s="56"/>
      <c r="D838" s="57"/>
      <c r="E838" s="58"/>
      <c r="F838" s="59"/>
      <c r="G838" s="60"/>
      <c r="H838" s="60"/>
      <c r="I838" s="90"/>
      <c r="J838" s="62"/>
      <c r="K838" s="59"/>
      <c r="L838" s="69"/>
      <c r="M838" s="74"/>
      <c r="N838" s="69"/>
      <c r="O838" s="66"/>
      <c r="P838" s="67"/>
      <c r="Q838" s="68"/>
      <c r="R838" s="69"/>
      <c r="S838" s="74"/>
      <c r="T838" s="69"/>
      <c r="U838" s="91"/>
      <c r="V838" s="72"/>
      <c r="W838" s="73"/>
      <c r="X838" s="74"/>
      <c r="Y838" s="75"/>
      <c r="Z838" s="60"/>
      <c r="AA838" s="60"/>
      <c r="AB838" s="60"/>
      <c r="AC838" s="60"/>
      <c r="AD838" s="73"/>
      <c r="AE838" s="73"/>
      <c r="AF838" s="76"/>
      <c r="AG838" s="60"/>
    </row>
    <row r="839">
      <c r="A839" s="88"/>
      <c r="B839" s="55"/>
      <c r="C839" s="56"/>
      <c r="D839" s="57"/>
      <c r="E839" s="58"/>
      <c r="F839" s="59"/>
      <c r="G839" s="60"/>
      <c r="H839" s="60"/>
      <c r="I839" s="90"/>
      <c r="J839" s="62"/>
      <c r="K839" s="59"/>
      <c r="L839" s="69"/>
      <c r="M839" s="74"/>
      <c r="N839" s="69"/>
      <c r="O839" s="66"/>
      <c r="P839" s="67"/>
      <c r="Q839" s="68"/>
      <c r="R839" s="69"/>
      <c r="S839" s="74"/>
      <c r="T839" s="69"/>
      <c r="U839" s="91"/>
      <c r="V839" s="72"/>
      <c r="W839" s="73"/>
      <c r="X839" s="74"/>
      <c r="Y839" s="75"/>
      <c r="Z839" s="60"/>
      <c r="AA839" s="60"/>
      <c r="AB839" s="60"/>
      <c r="AC839" s="60"/>
      <c r="AD839" s="73"/>
      <c r="AE839" s="73"/>
      <c r="AF839" s="76"/>
      <c r="AG839" s="60"/>
    </row>
    <row r="840">
      <c r="A840" s="88"/>
      <c r="B840" s="55"/>
      <c r="C840" s="56"/>
      <c r="D840" s="57"/>
      <c r="E840" s="58"/>
      <c r="F840" s="59"/>
      <c r="G840" s="60"/>
      <c r="H840" s="60"/>
      <c r="I840" s="90"/>
      <c r="J840" s="62"/>
      <c r="K840" s="59"/>
      <c r="L840" s="69"/>
      <c r="M840" s="74"/>
      <c r="N840" s="69"/>
      <c r="O840" s="66"/>
      <c r="P840" s="67"/>
      <c r="Q840" s="68"/>
      <c r="R840" s="69"/>
      <c r="S840" s="74"/>
      <c r="T840" s="69"/>
      <c r="U840" s="91"/>
      <c r="V840" s="72"/>
      <c r="W840" s="73"/>
      <c r="X840" s="74"/>
      <c r="Y840" s="75"/>
      <c r="Z840" s="60"/>
      <c r="AA840" s="60"/>
      <c r="AB840" s="60"/>
      <c r="AC840" s="60"/>
      <c r="AD840" s="73"/>
      <c r="AE840" s="73"/>
      <c r="AF840" s="76"/>
      <c r="AG840" s="60"/>
    </row>
    <row r="841">
      <c r="A841" s="88"/>
      <c r="B841" s="55"/>
      <c r="C841" s="56"/>
      <c r="D841" s="57"/>
      <c r="E841" s="58"/>
      <c r="F841" s="59"/>
      <c r="G841" s="60"/>
      <c r="H841" s="60"/>
      <c r="I841" s="90"/>
      <c r="J841" s="62"/>
      <c r="K841" s="59"/>
      <c r="L841" s="69"/>
      <c r="M841" s="74"/>
      <c r="N841" s="69"/>
      <c r="O841" s="66"/>
      <c r="P841" s="67"/>
      <c r="Q841" s="68"/>
      <c r="R841" s="69"/>
      <c r="S841" s="74"/>
      <c r="T841" s="69"/>
      <c r="U841" s="91"/>
      <c r="V841" s="72"/>
      <c r="W841" s="73"/>
      <c r="X841" s="74"/>
      <c r="Y841" s="75"/>
      <c r="Z841" s="60"/>
      <c r="AA841" s="60"/>
      <c r="AB841" s="60"/>
      <c r="AC841" s="60"/>
      <c r="AD841" s="73"/>
      <c r="AE841" s="73"/>
      <c r="AF841" s="76"/>
      <c r="AG841" s="60"/>
    </row>
    <row r="842">
      <c r="A842" s="88"/>
      <c r="B842" s="55"/>
      <c r="C842" s="56"/>
      <c r="D842" s="57"/>
      <c r="E842" s="58"/>
      <c r="F842" s="59"/>
      <c r="G842" s="60"/>
      <c r="H842" s="60"/>
      <c r="I842" s="90"/>
      <c r="J842" s="62"/>
      <c r="K842" s="59"/>
      <c r="L842" s="69"/>
      <c r="M842" s="74"/>
      <c r="N842" s="69"/>
      <c r="O842" s="66"/>
      <c r="P842" s="67"/>
      <c r="Q842" s="68"/>
      <c r="R842" s="69"/>
      <c r="S842" s="74"/>
      <c r="T842" s="69"/>
      <c r="U842" s="91"/>
      <c r="V842" s="72"/>
      <c r="W842" s="73"/>
      <c r="X842" s="74"/>
      <c r="Y842" s="75"/>
      <c r="Z842" s="60"/>
      <c r="AA842" s="60"/>
      <c r="AB842" s="60"/>
      <c r="AC842" s="60"/>
      <c r="AD842" s="73"/>
      <c r="AE842" s="73"/>
      <c r="AF842" s="76"/>
      <c r="AG842" s="60"/>
    </row>
    <row r="843">
      <c r="A843" s="88"/>
      <c r="B843" s="55"/>
      <c r="C843" s="56"/>
      <c r="D843" s="57"/>
      <c r="E843" s="58"/>
      <c r="F843" s="59"/>
      <c r="G843" s="60"/>
      <c r="H843" s="60"/>
      <c r="I843" s="90"/>
      <c r="J843" s="62"/>
      <c r="K843" s="59"/>
      <c r="L843" s="69"/>
      <c r="M843" s="74"/>
      <c r="N843" s="69"/>
      <c r="O843" s="66"/>
      <c r="P843" s="67"/>
      <c r="Q843" s="68"/>
      <c r="R843" s="69"/>
      <c r="S843" s="74"/>
      <c r="T843" s="69"/>
      <c r="U843" s="91"/>
      <c r="V843" s="72"/>
      <c r="W843" s="73"/>
      <c r="X843" s="74"/>
      <c r="Y843" s="75"/>
      <c r="Z843" s="60"/>
      <c r="AA843" s="60"/>
      <c r="AB843" s="60"/>
      <c r="AC843" s="60"/>
      <c r="AD843" s="73"/>
      <c r="AE843" s="73"/>
      <c r="AF843" s="76"/>
      <c r="AG843" s="60"/>
    </row>
    <row r="844">
      <c r="A844" s="88"/>
      <c r="B844" s="55"/>
      <c r="C844" s="56"/>
      <c r="D844" s="57"/>
      <c r="E844" s="58"/>
      <c r="F844" s="59"/>
      <c r="G844" s="60"/>
      <c r="H844" s="60"/>
      <c r="I844" s="90"/>
      <c r="J844" s="62"/>
      <c r="K844" s="59"/>
      <c r="L844" s="69"/>
      <c r="M844" s="74"/>
      <c r="N844" s="69"/>
      <c r="O844" s="66"/>
      <c r="P844" s="67"/>
      <c r="Q844" s="68"/>
      <c r="R844" s="69"/>
      <c r="S844" s="74"/>
      <c r="T844" s="69"/>
      <c r="U844" s="91"/>
      <c r="V844" s="72"/>
      <c r="W844" s="73"/>
      <c r="X844" s="74"/>
      <c r="Y844" s="75"/>
      <c r="Z844" s="60"/>
      <c r="AA844" s="60"/>
      <c r="AB844" s="60"/>
      <c r="AC844" s="60"/>
      <c r="AD844" s="73"/>
      <c r="AE844" s="73"/>
      <c r="AF844" s="76"/>
      <c r="AG844" s="60"/>
    </row>
    <row r="845">
      <c r="A845" s="88"/>
      <c r="B845" s="55"/>
      <c r="C845" s="56"/>
      <c r="D845" s="57"/>
      <c r="E845" s="58"/>
      <c r="F845" s="59"/>
      <c r="G845" s="60"/>
      <c r="H845" s="60"/>
      <c r="I845" s="90"/>
      <c r="J845" s="62"/>
      <c r="K845" s="59"/>
      <c r="L845" s="69"/>
      <c r="M845" s="74"/>
      <c r="N845" s="69"/>
      <c r="O845" s="66"/>
      <c r="P845" s="67"/>
      <c r="Q845" s="68"/>
      <c r="R845" s="69"/>
      <c r="S845" s="74"/>
      <c r="T845" s="69"/>
      <c r="U845" s="91"/>
      <c r="V845" s="72"/>
      <c r="W845" s="73"/>
      <c r="X845" s="74"/>
      <c r="Y845" s="75"/>
      <c r="Z845" s="60"/>
      <c r="AA845" s="60"/>
      <c r="AB845" s="60"/>
      <c r="AC845" s="60"/>
      <c r="AD845" s="73"/>
      <c r="AE845" s="73"/>
      <c r="AF845" s="76"/>
      <c r="AG845" s="60"/>
    </row>
  </sheetData>
  <autoFilter ref="$A$4:$AG$819"/>
  <mergeCells count="5">
    <mergeCell ref="B1:B2"/>
    <mergeCell ref="D1:K1"/>
    <mergeCell ref="H3:O3"/>
    <mergeCell ref="P3:V3"/>
    <mergeCell ref="W3:AG3"/>
  </mergeCells>
  <hyperlinks>
    <hyperlink r:id="rId1" ref="D2"/>
    <hyperlink r:id="rId2" ref="U5"/>
    <hyperlink r:id="rId3" ref="U6"/>
    <hyperlink r:id="rId4" ref="U7"/>
    <hyperlink r:id="rId5" ref="U8"/>
    <hyperlink r:id="rId6" ref="U9"/>
    <hyperlink r:id="rId7" ref="Y9"/>
    <hyperlink r:id="rId8" ref="Z9"/>
    <hyperlink r:id="rId9" ref="U10"/>
    <hyperlink r:id="rId10" ref="U11"/>
    <hyperlink r:id="rId11" ref="U12"/>
    <hyperlink r:id="rId12" ref="U13"/>
    <hyperlink r:id="rId13" ref="Y13"/>
    <hyperlink r:id="rId14" ref="Z13"/>
    <hyperlink r:id="rId15" ref="U14"/>
    <hyperlink r:id="rId16" ref="U15"/>
    <hyperlink r:id="rId17" ref="U16"/>
    <hyperlink r:id="rId18" ref="U17"/>
    <hyperlink r:id="rId19" ref="U18"/>
    <hyperlink r:id="rId20" ref="U19"/>
    <hyperlink r:id="rId21" ref="Y19"/>
    <hyperlink r:id="rId22" ref="Z19"/>
    <hyperlink r:id="rId23" ref="U20"/>
    <hyperlink r:id="rId24" ref="Y20"/>
    <hyperlink r:id="rId25" ref="Z20"/>
    <hyperlink r:id="rId26" ref="U21"/>
    <hyperlink r:id="rId27" ref="U22"/>
    <hyperlink r:id="rId28" ref="U23"/>
    <hyperlink r:id="rId29" ref="U24"/>
    <hyperlink r:id="rId30" ref="Y24"/>
    <hyperlink r:id="rId31" ref="Z24"/>
    <hyperlink r:id="rId32" ref="U25"/>
    <hyperlink r:id="rId33" ref="U26"/>
    <hyperlink r:id="rId34" ref="U27"/>
    <hyperlink r:id="rId35" ref="Y27"/>
    <hyperlink r:id="rId36" ref="Z27"/>
    <hyperlink r:id="rId37" ref="U28"/>
    <hyperlink r:id="rId38" ref="U29"/>
    <hyperlink r:id="rId39" ref="F30"/>
    <hyperlink r:id="rId40" ref="U30"/>
    <hyperlink r:id="rId41" ref="U31"/>
    <hyperlink r:id="rId42" ref="U32"/>
    <hyperlink r:id="rId43" ref="U33"/>
    <hyperlink r:id="rId44" ref="U34"/>
    <hyperlink r:id="rId45" ref="U35"/>
    <hyperlink r:id="rId46" ref="U36"/>
    <hyperlink r:id="rId47" ref="U37"/>
    <hyperlink r:id="rId48" ref="U38"/>
    <hyperlink r:id="rId49" ref="U39"/>
    <hyperlink r:id="rId50" ref="U40"/>
    <hyperlink r:id="rId51" ref="U41"/>
    <hyperlink r:id="rId52" ref="U42"/>
    <hyperlink r:id="rId53" ref="Y42"/>
    <hyperlink r:id="rId54" ref="Z42"/>
    <hyperlink r:id="rId55" ref="U43"/>
    <hyperlink r:id="rId56" ref="Y43"/>
    <hyperlink r:id="rId57" ref="Z43"/>
    <hyperlink r:id="rId58" ref="U44"/>
    <hyperlink r:id="rId59" ref="U45"/>
    <hyperlink r:id="rId60" ref="Y45"/>
    <hyperlink r:id="rId61" ref="Z45"/>
    <hyperlink r:id="rId62" ref="U46"/>
    <hyperlink r:id="rId63" ref="U47"/>
    <hyperlink r:id="rId64" ref="U48"/>
    <hyperlink r:id="rId65" ref="U49"/>
    <hyperlink r:id="rId66" ref="U50"/>
    <hyperlink r:id="rId67" ref="U51"/>
    <hyperlink r:id="rId68" ref="U52"/>
    <hyperlink r:id="rId69" ref="Y52"/>
    <hyperlink r:id="rId70" ref="Z52"/>
    <hyperlink r:id="rId71" ref="U53"/>
    <hyperlink r:id="rId72" ref="U54"/>
    <hyperlink r:id="rId73" ref="U55"/>
    <hyperlink r:id="rId74" ref="U56"/>
    <hyperlink r:id="rId75" ref="U57"/>
    <hyperlink r:id="rId76" ref="U58"/>
    <hyperlink r:id="rId77" ref="Y58"/>
    <hyperlink r:id="rId78" ref="Z58"/>
    <hyperlink r:id="rId79" ref="U59"/>
    <hyperlink r:id="rId80" ref="U60"/>
    <hyperlink r:id="rId81" ref="Y60"/>
    <hyperlink r:id="rId82" ref="Z60"/>
    <hyperlink r:id="rId83" ref="U61"/>
    <hyperlink r:id="rId84" ref="U62"/>
    <hyperlink r:id="rId85" ref="U63"/>
    <hyperlink r:id="rId86" ref="U64"/>
    <hyperlink r:id="rId87" ref="U65"/>
    <hyperlink r:id="rId88" ref="U66"/>
    <hyperlink r:id="rId89" ref="U67"/>
    <hyperlink r:id="rId90" location=".X7u6rNjjdqY.twitter" ref="Y67"/>
    <hyperlink r:id="rId91" ref="Z67"/>
    <hyperlink r:id="rId92" ref="U68"/>
    <hyperlink r:id="rId93" ref="U69"/>
    <hyperlink r:id="rId94" ref="U70"/>
    <hyperlink r:id="rId95" ref="U71"/>
    <hyperlink r:id="rId96" ref="U72"/>
    <hyperlink r:id="rId97" ref="U73"/>
    <hyperlink r:id="rId98" ref="Y73"/>
    <hyperlink r:id="rId99" ref="Z73"/>
    <hyperlink r:id="rId100" ref="U74"/>
    <hyperlink r:id="rId101" ref="U75"/>
    <hyperlink r:id="rId102" ref="U76"/>
    <hyperlink r:id="rId103" ref="U77"/>
    <hyperlink r:id="rId104" ref="U78"/>
    <hyperlink r:id="rId105" ref="Y78"/>
    <hyperlink r:id="rId106" ref="Z78"/>
    <hyperlink r:id="rId107" ref="U79"/>
    <hyperlink r:id="rId108" ref="U80"/>
    <hyperlink r:id="rId109" ref="U81"/>
    <hyperlink r:id="rId110" ref="Y81"/>
    <hyperlink r:id="rId111" ref="Z81"/>
    <hyperlink r:id="rId112" ref="U82"/>
    <hyperlink r:id="rId113" ref="U83"/>
    <hyperlink r:id="rId114" ref="U84"/>
    <hyperlink r:id="rId115" ref="U85"/>
    <hyperlink r:id="rId116" ref="U86"/>
    <hyperlink r:id="rId117" ref="U87"/>
    <hyperlink r:id="rId118" ref="U88"/>
    <hyperlink r:id="rId119" ref="U89"/>
    <hyperlink r:id="rId120" ref="U90"/>
    <hyperlink r:id="rId121" ref="U91"/>
    <hyperlink r:id="rId122" ref="U92"/>
    <hyperlink r:id="rId123" ref="U93"/>
    <hyperlink r:id="rId124" ref="U94"/>
    <hyperlink r:id="rId125" ref="U95"/>
    <hyperlink r:id="rId126" ref="U96"/>
    <hyperlink r:id="rId127" ref="U97"/>
    <hyperlink r:id="rId128" ref="U98"/>
    <hyperlink r:id="rId129" ref="U99"/>
    <hyperlink r:id="rId130" ref="U100"/>
    <hyperlink r:id="rId131" ref="U101"/>
    <hyperlink r:id="rId132" ref="U102"/>
    <hyperlink r:id="rId133" ref="U103"/>
    <hyperlink r:id="rId134" ref="U104"/>
    <hyperlink r:id="rId135" ref="U105"/>
    <hyperlink r:id="rId136" ref="U106"/>
    <hyperlink r:id="rId137" ref="U107"/>
    <hyperlink r:id="rId138" ref="U108"/>
    <hyperlink r:id="rId139" ref="U109"/>
    <hyperlink r:id="rId140" ref="U110"/>
    <hyperlink r:id="rId141" ref="U111"/>
    <hyperlink r:id="rId142" ref="U112"/>
    <hyperlink r:id="rId143" ref="Y112"/>
    <hyperlink r:id="rId144" ref="Z112"/>
    <hyperlink r:id="rId145" ref="U113"/>
    <hyperlink r:id="rId146" ref="U114"/>
    <hyperlink r:id="rId147" ref="U115"/>
    <hyperlink r:id="rId148" ref="U116"/>
    <hyperlink r:id="rId149" ref="U117"/>
    <hyperlink r:id="rId150" ref="U118"/>
    <hyperlink r:id="rId151" ref="U119"/>
    <hyperlink r:id="rId152" ref="Y119"/>
    <hyperlink r:id="rId153" ref="Z119"/>
    <hyperlink r:id="rId154" ref="U120"/>
    <hyperlink r:id="rId155" ref="U121"/>
    <hyperlink r:id="rId156" ref="U122"/>
    <hyperlink r:id="rId157" ref="U123"/>
    <hyperlink r:id="rId158" ref="U124"/>
    <hyperlink r:id="rId159" ref="U125"/>
    <hyperlink r:id="rId160" ref="U126"/>
    <hyperlink r:id="rId161" ref="U127"/>
    <hyperlink r:id="rId162" ref="U128"/>
    <hyperlink r:id="rId163" ref="U129"/>
    <hyperlink r:id="rId164" ref="U130"/>
    <hyperlink r:id="rId165" ref="Y130"/>
    <hyperlink r:id="rId166" ref="Z130"/>
    <hyperlink r:id="rId167" ref="U131"/>
    <hyperlink r:id="rId168" ref="U132"/>
    <hyperlink r:id="rId169" ref="U133"/>
    <hyperlink r:id="rId170" ref="Y133"/>
    <hyperlink r:id="rId171" ref="Z133"/>
    <hyperlink r:id="rId172" ref="U134"/>
    <hyperlink r:id="rId173" ref="Y134"/>
    <hyperlink r:id="rId174" ref="Z134"/>
    <hyperlink r:id="rId175" ref="U135"/>
    <hyperlink r:id="rId176" ref="U136"/>
    <hyperlink r:id="rId177" ref="U137"/>
    <hyperlink r:id="rId178" ref="U138"/>
    <hyperlink r:id="rId179" ref="U139"/>
    <hyperlink r:id="rId180" ref="U140"/>
    <hyperlink r:id="rId181" ref="U141"/>
    <hyperlink r:id="rId182" ref="Y141"/>
    <hyperlink r:id="rId183" ref="Z141"/>
    <hyperlink r:id="rId184" ref="U142"/>
    <hyperlink r:id="rId185" ref="U143"/>
    <hyperlink r:id="rId186" ref="U144"/>
    <hyperlink r:id="rId187" ref="Y144"/>
    <hyperlink r:id="rId188" ref="Z144"/>
    <hyperlink r:id="rId189" ref="U145"/>
    <hyperlink r:id="rId190" ref="U146"/>
    <hyperlink r:id="rId191" ref="U147"/>
    <hyperlink r:id="rId192" ref="U148"/>
    <hyperlink r:id="rId193" ref="Y148"/>
    <hyperlink r:id="rId194" ref="Z148"/>
    <hyperlink r:id="rId195" ref="U149"/>
    <hyperlink r:id="rId196" ref="U150"/>
    <hyperlink r:id="rId197" ref="U151"/>
    <hyperlink r:id="rId198" ref="U152"/>
    <hyperlink r:id="rId199" ref="U153"/>
    <hyperlink r:id="rId200" ref="U154"/>
    <hyperlink r:id="rId201" ref="Y154"/>
    <hyperlink r:id="rId202" ref="Z154"/>
    <hyperlink r:id="rId203" ref="U155"/>
    <hyperlink r:id="rId204" ref="U156"/>
    <hyperlink r:id="rId205" ref="U157"/>
    <hyperlink r:id="rId206" ref="Y157"/>
    <hyperlink r:id="rId207" ref="Z157"/>
    <hyperlink r:id="rId208" ref="U158"/>
    <hyperlink r:id="rId209" ref="U159"/>
    <hyperlink r:id="rId210" ref="U160"/>
    <hyperlink r:id="rId211" ref="U161"/>
    <hyperlink r:id="rId212" ref="U162"/>
    <hyperlink r:id="rId213" ref="U163"/>
    <hyperlink r:id="rId214" ref="U164"/>
    <hyperlink r:id="rId215" ref="U165"/>
    <hyperlink r:id="rId216" ref="U166"/>
    <hyperlink r:id="rId217" ref="Y166"/>
    <hyperlink r:id="rId218" ref="Z166"/>
    <hyperlink r:id="rId219" ref="U167"/>
    <hyperlink r:id="rId220" ref="U168"/>
    <hyperlink r:id="rId221" ref="F169"/>
    <hyperlink r:id="rId222" ref="U169"/>
    <hyperlink r:id="rId223" ref="U170"/>
    <hyperlink r:id="rId224" ref="Y170"/>
    <hyperlink r:id="rId225" ref="Z170"/>
    <hyperlink r:id="rId226" ref="U171"/>
    <hyperlink r:id="rId227" ref="Y171"/>
    <hyperlink r:id="rId228" ref="Z171"/>
    <hyperlink r:id="rId229" ref="U172"/>
    <hyperlink r:id="rId230" ref="U173"/>
    <hyperlink r:id="rId231" ref="U174"/>
    <hyperlink r:id="rId232" ref="U175"/>
    <hyperlink r:id="rId233" ref="U176"/>
    <hyperlink r:id="rId234" ref="U177"/>
    <hyperlink r:id="rId235" ref="U178"/>
    <hyperlink r:id="rId236" ref="U179"/>
    <hyperlink r:id="rId237" ref="U180"/>
    <hyperlink r:id="rId238" ref="U181"/>
    <hyperlink r:id="rId239" ref="U182"/>
    <hyperlink r:id="rId240" ref="U183"/>
    <hyperlink r:id="rId241" ref="U184"/>
    <hyperlink r:id="rId242" ref="U185"/>
    <hyperlink r:id="rId243" ref="U186"/>
    <hyperlink r:id="rId244" ref="U187"/>
    <hyperlink r:id="rId245" ref="U188"/>
    <hyperlink r:id="rId246" ref="Y188"/>
    <hyperlink r:id="rId247" ref="Z188"/>
    <hyperlink r:id="rId248" ref="U189"/>
    <hyperlink r:id="rId249" ref="U190"/>
    <hyperlink r:id="rId250" ref="U191"/>
    <hyperlink r:id="rId251" ref="U192"/>
    <hyperlink r:id="rId252" ref="U193"/>
    <hyperlink r:id="rId253" ref="U194"/>
    <hyperlink r:id="rId254" ref="U195"/>
    <hyperlink r:id="rId255" ref="Y195"/>
    <hyperlink r:id="rId256" ref="Z195"/>
    <hyperlink r:id="rId257" ref="U196"/>
    <hyperlink r:id="rId258" ref="U197"/>
    <hyperlink r:id="rId259" ref="U198"/>
    <hyperlink r:id="rId260" ref="U199"/>
    <hyperlink r:id="rId261" ref="F200"/>
    <hyperlink r:id="rId262" ref="U200"/>
    <hyperlink r:id="rId263" ref="Y200"/>
    <hyperlink r:id="rId264" ref="Z200"/>
    <hyperlink r:id="rId265" ref="U201"/>
    <hyperlink r:id="rId266" ref="U202"/>
    <hyperlink r:id="rId267" ref="F203"/>
    <hyperlink r:id="rId268" ref="U203"/>
    <hyperlink r:id="rId269" ref="U204"/>
    <hyperlink r:id="rId270" ref="U205"/>
    <hyperlink r:id="rId271" ref="U206"/>
    <hyperlink r:id="rId272" ref="Y206"/>
    <hyperlink r:id="rId273" ref="Z206"/>
    <hyperlink r:id="rId274" ref="U207"/>
    <hyperlink r:id="rId275" ref="Y207"/>
    <hyperlink r:id="rId276" ref="Z207"/>
    <hyperlink r:id="rId277" ref="U208"/>
    <hyperlink r:id="rId278" ref="U209"/>
    <hyperlink r:id="rId279" ref="Y209"/>
    <hyperlink r:id="rId280" ref="Z209"/>
    <hyperlink r:id="rId281" ref="U210"/>
    <hyperlink r:id="rId282" ref="U211"/>
    <hyperlink r:id="rId283" ref="U212"/>
    <hyperlink r:id="rId284" ref="U213"/>
    <hyperlink r:id="rId285" ref="U214"/>
    <hyperlink r:id="rId286" ref="U215"/>
    <hyperlink r:id="rId287" ref="U216"/>
    <hyperlink r:id="rId288" ref="U217"/>
    <hyperlink r:id="rId289" ref="U218"/>
    <hyperlink r:id="rId290" ref="U219"/>
    <hyperlink r:id="rId291" ref="U220"/>
    <hyperlink r:id="rId292" ref="U221"/>
    <hyperlink r:id="rId293" ref="U222"/>
    <hyperlink r:id="rId294" ref="Y222"/>
    <hyperlink r:id="rId295" ref="Z222"/>
    <hyperlink r:id="rId296" ref="U223"/>
    <hyperlink r:id="rId297" ref="Y223"/>
    <hyperlink r:id="rId298" ref="Z223"/>
    <hyperlink r:id="rId299" ref="U224"/>
    <hyperlink r:id="rId300" ref="U225"/>
    <hyperlink r:id="rId301" ref="U226"/>
    <hyperlink r:id="rId302" ref="U227"/>
    <hyperlink r:id="rId303" ref="U228"/>
    <hyperlink r:id="rId304" ref="U229"/>
    <hyperlink r:id="rId305" ref="U230"/>
    <hyperlink r:id="rId306" ref="U231"/>
    <hyperlink r:id="rId307" ref="U232"/>
    <hyperlink r:id="rId308" ref="U233"/>
    <hyperlink r:id="rId309" ref="U234"/>
    <hyperlink r:id="rId310" ref="U235"/>
    <hyperlink r:id="rId311" ref="U236"/>
    <hyperlink r:id="rId312" ref="U237"/>
    <hyperlink r:id="rId313" ref="U238"/>
    <hyperlink r:id="rId314" ref="Y238"/>
    <hyperlink r:id="rId315" ref="Z238"/>
    <hyperlink r:id="rId316" ref="U239"/>
    <hyperlink r:id="rId317" ref="U240"/>
    <hyperlink r:id="rId318" ref="U241"/>
    <hyperlink r:id="rId319" ref="U242"/>
    <hyperlink r:id="rId320" ref="U243"/>
    <hyperlink r:id="rId321" ref="U244"/>
    <hyperlink r:id="rId322" ref="U245"/>
    <hyperlink r:id="rId323" ref="U246"/>
    <hyperlink r:id="rId324" ref="U247"/>
    <hyperlink r:id="rId325" ref="U248"/>
    <hyperlink r:id="rId326" ref="U249"/>
    <hyperlink r:id="rId327" ref="Y249"/>
    <hyperlink r:id="rId328" ref="Z249"/>
    <hyperlink r:id="rId329" ref="U250"/>
    <hyperlink r:id="rId330" ref="U251"/>
    <hyperlink r:id="rId331" ref="U252"/>
    <hyperlink r:id="rId332" ref="U253"/>
    <hyperlink r:id="rId333" ref="U254"/>
    <hyperlink r:id="rId334" ref="U255"/>
    <hyperlink r:id="rId335" ref="U256"/>
    <hyperlink r:id="rId336" ref="Y256"/>
    <hyperlink r:id="rId337" ref="Z256"/>
    <hyperlink r:id="rId338" ref="U257"/>
    <hyperlink r:id="rId339" ref="U258"/>
    <hyperlink r:id="rId340" ref="U259"/>
    <hyperlink r:id="rId341" ref="Y259"/>
    <hyperlink r:id="rId342" ref="Z259"/>
    <hyperlink r:id="rId343" ref="U260"/>
    <hyperlink r:id="rId344" ref="Y260"/>
    <hyperlink r:id="rId345" ref="Z260"/>
    <hyperlink r:id="rId346" ref="U261"/>
    <hyperlink r:id="rId347" ref="U262"/>
    <hyperlink r:id="rId348" ref="Y262"/>
    <hyperlink r:id="rId349" ref="Z262"/>
    <hyperlink r:id="rId350" ref="U263"/>
    <hyperlink r:id="rId351" ref="U264"/>
    <hyperlink r:id="rId352" ref="Y264"/>
    <hyperlink r:id="rId353" ref="Z264"/>
    <hyperlink r:id="rId354" ref="U265"/>
    <hyperlink r:id="rId355" ref="U266"/>
    <hyperlink r:id="rId356" ref="U267"/>
    <hyperlink r:id="rId357" ref="U268"/>
    <hyperlink r:id="rId358" ref="U269"/>
    <hyperlink r:id="rId359" ref="U270"/>
    <hyperlink r:id="rId360" ref="U271"/>
    <hyperlink r:id="rId361" ref="U272"/>
    <hyperlink r:id="rId362" ref="U273"/>
    <hyperlink r:id="rId363" ref="U274"/>
    <hyperlink r:id="rId364" ref="U275"/>
    <hyperlink r:id="rId365" ref="U276"/>
    <hyperlink r:id="rId366" ref="U277"/>
    <hyperlink r:id="rId367" ref="U278"/>
    <hyperlink r:id="rId368" ref="Y278"/>
    <hyperlink r:id="rId369" ref="Z278"/>
    <hyperlink r:id="rId370" ref="U279"/>
    <hyperlink r:id="rId371" ref="U280"/>
    <hyperlink r:id="rId372" ref="U281"/>
    <hyperlink r:id="rId373" ref="U282"/>
    <hyperlink r:id="rId374" ref="Y282"/>
    <hyperlink r:id="rId375" ref="Z282"/>
    <hyperlink r:id="rId376" ref="U283"/>
    <hyperlink r:id="rId377" ref="U284"/>
    <hyperlink r:id="rId378" ref="U285"/>
    <hyperlink r:id="rId379" ref="Y285"/>
    <hyperlink r:id="rId380" ref="Z285"/>
    <hyperlink r:id="rId381" ref="U286"/>
    <hyperlink r:id="rId382" ref="U287"/>
    <hyperlink r:id="rId383" ref="Y287"/>
    <hyperlink r:id="rId384" ref="Z287"/>
    <hyperlink r:id="rId385" ref="U288"/>
    <hyperlink r:id="rId386" ref="U289"/>
    <hyperlink r:id="rId387" ref="Y289"/>
    <hyperlink r:id="rId388" ref="Z289"/>
    <hyperlink r:id="rId389" ref="U290"/>
    <hyperlink r:id="rId390" ref="Y290"/>
    <hyperlink r:id="rId391" ref="Z290"/>
    <hyperlink r:id="rId392" ref="U291"/>
    <hyperlink r:id="rId393" ref="U292"/>
    <hyperlink r:id="rId394" ref="U293"/>
    <hyperlink r:id="rId395" ref="Y293"/>
    <hyperlink r:id="rId396" ref="Z293"/>
    <hyperlink r:id="rId397" ref="U294"/>
    <hyperlink r:id="rId398" ref="U295"/>
    <hyperlink r:id="rId399" ref="U296"/>
    <hyperlink r:id="rId400" ref="U297"/>
    <hyperlink r:id="rId401" ref="U298"/>
    <hyperlink r:id="rId402" ref="U299"/>
    <hyperlink r:id="rId403" ref="U300"/>
    <hyperlink r:id="rId404" ref="U301"/>
    <hyperlink r:id="rId405" ref="U302"/>
    <hyperlink r:id="rId406" ref="U303"/>
    <hyperlink r:id="rId407" ref="U304"/>
    <hyperlink r:id="rId408" ref="U305"/>
    <hyperlink r:id="rId409" ref="U306"/>
    <hyperlink r:id="rId410" ref="U307"/>
    <hyperlink r:id="rId411" ref="U308"/>
    <hyperlink r:id="rId412" ref="U309"/>
    <hyperlink r:id="rId413" ref="U310"/>
    <hyperlink r:id="rId414" ref="U311"/>
    <hyperlink r:id="rId415" ref="U312"/>
    <hyperlink r:id="rId416" ref="U313"/>
    <hyperlink r:id="rId417" ref="Y313"/>
    <hyperlink r:id="rId418" ref="Z313"/>
    <hyperlink r:id="rId419" ref="U314"/>
    <hyperlink r:id="rId420" ref="U315"/>
    <hyperlink r:id="rId421" ref="U316"/>
    <hyperlink r:id="rId422" ref="U317"/>
    <hyperlink r:id="rId423" ref="U318"/>
    <hyperlink r:id="rId424" ref="Y318"/>
    <hyperlink r:id="rId425" ref="Z318"/>
    <hyperlink r:id="rId426" ref="U319"/>
    <hyperlink r:id="rId427" ref="Y319"/>
    <hyperlink r:id="rId428" ref="Z319"/>
    <hyperlink r:id="rId429" ref="U320"/>
    <hyperlink r:id="rId430" ref="U321"/>
    <hyperlink r:id="rId431" ref="U322"/>
    <hyperlink r:id="rId432" ref="U323"/>
    <hyperlink r:id="rId433" ref="U324"/>
    <hyperlink r:id="rId434" ref="U325"/>
    <hyperlink r:id="rId435" ref="U326"/>
    <hyperlink r:id="rId436" ref="U327"/>
    <hyperlink r:id="rId437" ref="U328"/>
    <hyperlink r:id="rId438" ref="U329"/>
    <hyperlink r:id="rId439" ref="U330"/>
    <hyperlink r:id="rId440" ref="Y330"/>
    <hyperlink r:id="rId441" ref="Z330"/>
    <hyperlink r:id="rId442" ref="U331"/>
    <hyperlink r:id="rId443" ref="Y331"/>
    <hyperlink r:id="rId444" ref="Z331"/>
    <hyperlink r:id="rId445" ref="U332"/>
    <hyperlink r:id="rId446" ref="U333"/>
    <hyperlink r:id="rId447" ref="U334"/>
    <hyperlink r:id="rId448" ref="U335"/>
    <hyperlink r:id="rId449" ref="U336"/>
    <hyperlink r:id="rId450" ref="U337"/>
    <hyperlink r:id="rId451" ref="Y337"/>
    <hyperlink r:id="rId452" ref="Z337"/>
    <hyperlink r:id="rId453" ref="U338"/>
    <hyperlink r:id="rId454" ref="Y338"/>
    <hyperlink r:id="rId455" ref="Z338"/>
    <hyperlink r:id="rId456" ref="U339"/>
    <hyperlink r:id="rId457" ref="U340"/>
    <hyperlink r:id="rId458" ref="U341"/>
    <hyperlink r:id="rId459" ref="U342"/>
    <hyperlink r:id="rId460" ref="U343"/>
    <hyperlink r:id="rId461" ref="U344"/>
    <hyperlink r:id="rId462" ref="U345"/>
    <hyperlink r:id="rId463" ref="U346"/>
    <hyperlink r:id="rId464" ref="Y346"/>
    <hyperlink r:id="rId465" ref="Z346"/>
    <hyperlink r:id="rId466" ref="U347"/>
    <hyperlink r:id="rId467" ref="U348"/>
    <hyperlink r:id="rId468" ref="Y348"/>
    <hyperlink r:id="rId469" ref="Z348"/>
    <hyperlink r:id="rId470" ref="U349"/>
    <hyperlink r:id="rId471" ref="U350"/>
    <hyperlink r:id="rId472" ref="U351"/>
    <hyperlink r:id="rId473" ref="U352"/>
    <hyperlink r:id="rId474" ref="U353"/>
    <hyperlink r:id="rId475" ref="U354"/>
    <hyperlink r:id="rId476" ref="U355"/>
    <hyperlink r:id="rId477" ref="U356"/>
    <hyperlink r:id="rId478" ref="U357"/>
    <hyperlink r:id="rId479" ref="U358"/>
    <hyperlink r:id="rId480" ref="U359"/>
    <hyperlink r:id="rId481" ref="U360"/>
    <hyperlink r:id="rId482" ref="U361"/>
    <hyperlink r:id="rId483" ref="U362"/>
    <hyperlink r:id="rId484" ref="Y362"/>
    <hyperlink r:id="rId485" ref="Z362"/>
    <hyperlink r:id="rId486" ref="U363"/>
    <hyperlink r:id="rId487" ref="U364"/>
    <hyperlink r:id="rId488" ref="U365"/>
    <hyperlink r:id="rId489" ref="U366"/>
    <hyperlink r:id="rId490" ref="U367"/>
    <hyperlink r:id="rId491" ref="U368"/>
    <hyperlink r:id="rId492" ref="U369"/>
    <hyperlink r:id="rId493" ref="U370"/>
    <hyperlink r:id="rId494" ref="U371"/>
    <hyperlink r:id="rId495" ref="U372"/>
    <hyperlink r:id="rId496" ref="U373"/>
    <hyperlink r:id="rId497" ref="Y373"/>
    <hyperlink r:id="rId498" ref="Z373"/>
    <hyperlink r:id="rId499" ref="U374"/>
    <hyperlink r:id="rId500" ref="U375"/>
    <hyperlink r:id="rId501" ref="U376"/>
    <hyperlink r:id="rId502" ref="U377"/>
    <hyperlink r:id="rId503" ref="U378"/>
    <hyperlink r:id="rId504" ref="U379"/>
    <hyperlink r:id="rId505" ref="U380"/>
    <hyperlink r:id="rId506" ref="U381"/>
    <hyperlink r:id="rId507" ref="U382"/>
    <hyperlink r:id="rId508" ref="U383"/>
    <hyperlink r:id="rId509" ref="U384"/>
    <hyperlink r:id="rId510" ref="U385"/>
    <hyperlink r:id="rId511" ref="Y385"/>
    <hyperlink r:id="rId512" ref="Z385"/>
    <hyperlink r:id="rId513" ref="U386"/>
    <hyperlink r:id="rId514" ref="U387"/>
    <hyperlink r:id="rId515" ref="U388"/>
    <hyperlink r:id="rId516" ref="U389"/>
    <hyperlink r:id="rId517" ref="U390"/>
    <hyperlink r:id="rId518" ref="U391"/>
    <hyperlink r:id="rId519" ref="U392"/>
    <hyperlink r:id="rId520" ref="U393"/>
    <hyperlink r:id="rId521" ref="U394"/>
    <hyperlink r:id="rId522" ref="U395"/>
    <hyperlink r:id="rId523" ref="U396"/>
    <hyperlink r:id="rId524" ref="U397"/>
    <hyperlink r:id="rId525" ref="U398"/>
    <hyperlink r:id="rId526" ref="U399"/>
    <hyperlink r:id="rId527" ref="F400"/>
    <hyperlink r:id="rId528" ref="U400"/>
    <hyperlink r:id="rId529" ref="Y400"/>
    <hyperlink r:id="rId530" ref="Z400"/>
    <hyperlink r:id="rId531" ref="U401"/>
    <hyperlink r:id="rId532" ref="U402"/>
    <hyperlink r:id="rId533" ref="U403"/>
    <hyperlink r:id="rId534" ref="U404"/>
    <hyperlink r:id="rId535" ref="U405"/>
    <hyperlink r:id="rId536" ref="U406"/>
    <hyperlink r:id="rId537" ref="U407"/>
    <hyperlink r:id="rId538" ref="U408"/>
    <hyperlink r:id="rId539" ref="U409"/>
    <hyperlink r:id="rId540" ref="Y409"/>
    <hyperlink r:id="rId541" ref="Z409"/>
    <hyperlink r:id="rId542" ref="U410"/>
    <hyperlink r:id="rId543" ref="U411"/>
    <hyperlink r:id="rId544" ref="U412"/>
    <hyperlink r:id="rId545" ref="U413"/>
    <hyperlink r:id="rId546" ref="U414"/>
    <hyperlink r:id="rId547" ref="U415"/>
    <hyperlink r:id="rId548" ref="U416"/>
    <hyperlink r:id="rId549" ref="U417"/>
    <hyperlink r:id="rId550" ref="U418"/>
    <hyperlink r:id="rId551" ref="U419"/>
    <hyperlink r:id="rId552" ref="Y419"/>
    <hyperlink r:id="rId553" ref="Z419"/>
    <hyperlink r:id="rId554" ref="U420"/>
    <hyperlink r:id="rId555" ref="U421"/>
    <hyperlink r:id="rId556" ref="U422"/>
    <hyperlink r:id="rId557" ref="U423"/>
    <hyperlink r:id="rId558" ref="Y423"/>
    <hyperlink r:id="rId559" ref="Z423"/>
    <hyperlink r:id="rId560" ref="U424"/>
    <hyperlink r:id="rId561" ref="U425"/>
    <hyperlink r:id="rId562" ref="U426"/>
    <hyperlink r:id="rId563" ref="U427"/>
    <hyperlink r:id="rId564" ref="U428"/>
    <hyperlink r:id="rId565" ref="U429"/>
    <hyperlink r:id="rId566" ref="U430"/>
    <hyperlink r:id="rId567" ref="U431"/>
    <hyperlink r:id="rId568" ref="U432"/>
    <hyperlink r:id="rId569" ref="U433"/>
    <hyperlink r:id="rId570" ref="U434"/>
    <hyperlink r:id="rId571" ref="U435"/>
    <hyperlink r:id="rId572" ref="U436"/>
    <hyperlink r:id="rId573" ref="Y436"/>
    <hyperlink r:id="rId574" ref="Z436"/>
    <hyperlink r:id="rId575" ref="U437"/>
    <hyperlink r:id="rId576" ref="U438"/>
    <hyperlink r:id="rId577" ref="U439"/>
    <hyperlink r:id="rId578" ref="U440"/>
    <hyperlink r:id="rId579" ref="U441"/>
    <hyperlink r:id="rId580" ref="U442"/>
    <hyperlink r:id="rId581" ref="U443"/>
    <hyperlink r:id="rId582" ref="Y443"/>
    <hyperlink r:id="rId583" ref="Z443"/>
    <hyperlink r:id="rId584" ref="U444"/>
    <hyperlink r:id="rId585" ref="Y444"/>
    <hyperlink r:id="rId586" ref="Z444"/>
    <hyperlink r:id="rId587" ref="U445"/>
    <hyperlink r:id="rId588" ref="U446"/>
    <hyperlink r:id="rId589" ref="U447"/>
    <hyperlink r:id="rId590" ref="U448"/>
    <hyperlink r:id="rId591" ref="U449"/>
    <hyperlink r:id="rId592" ref="U450"/>
    <hyperlink r:id="rId593" ref="Y450"/>
    <hyperlink r:id="rId594" ref="Z450"/>
    <hyperlink r:id="rId595" ref="U451"/>
    <hyperlink r:id="rId596" ref="U452"/>
    <hyperlink r:id="rId597" ref="U453"/>
    <hyperlink r:id="rId598" ref="U454"/>
    <hyperlink r:id="rId599" ref="U455"/>
    <hyperlink r:id="rId600" ref="U456"/>
    <hyperlink r:id="rId601" ref="U457"/>
    <hyperlink r:id="rId602" ref="U458"/>
    <hyperlink r:id="rId603" ref="U459"/>
    <hyperlink r:id="rId604" ref="U460"/>
    <hyperlink r:id="rId605" ref="U461"/>
    <hyperlink r:id="rId606" ref="U462"/>
    <hyperlink r:id="rId607" ref="U463"/>
    <hyperlink r:id="rId608" ref="U464"/>
    <hyperlink r:id="rId609" ref="U465"/>
    <hyperlink r:id="rId610" ref="U466"/>
    <hyperlink r:id="rId611" ref="U467"/>
    <hyperlink r:id="rId612" ref="U468"/>
    <hyperlink r:id="rId613" ref="U469"/>
    <hyperlink r:id="rId614" ref="U470"/>
    <hyperlink r:id="rId615" ref="U471"/>
    <hyperlink r:id="rId616" ref="U472"/>
    <hyperlink r:id="rId617" ref="U473"/>
    <hyperlink r:id="rId618" ref="U474"/>
    <hyperlink r:id="rId619" ref="U475"/>
    <hyperlink r:id="rId620" ref="U476"/>
    <hyperlink r:id="rId621" ref="U477"/>
    <hyperlink r:id="rId622" ref="U478"/>
    <hyperlink r:id="rId623" ref="U479"/>
    <hyperlink r:id="rId624" ref="U480"/>
    <hyperlink r:id="rId625" ref="U481"/>
    <hyperlink r:id="rId626" ref="U482"/>
    <hyperlink r:id="rId627" ref="U483"/>
    <hyperlink r:id="rId628" ref="U484"/>
    <hyperlink r:id="rId629" ref="U485"/>
    <hyperlink r:id="rId630" ref="U486"/>
    <hyperlink r:id="rId631" ref="U487"/>
    <hyperlink r:id="rId632" ref="U488"/>
    <hyperlink r:id="rId633" ref="U489"/>
    <hyperlink r:id="rId634" location=".YG2g0m60a2M.twitter" ref="Y489"/>
    <hyperlink r:id="rId635" ref="Z489"/>
    <hyperlink r:id="rId636" ref="U490"/>
    <hyperlink r:id="rId637" ref="U491"/>
    <hyperlink r:id="rId638" ref="U492"/>
    <hyperlink r:id="rId639" ref="U493"/>
    <hyperlink r:id="rId640" ref="U494"/>
    <hyperlink r:id="rId641" ref="U495"/>
    <hyperlink r:id="rId642" ref="U496"/>
    <hyperlink r:id="rId643" ref="Y496"/>
    <hyperlink r:id="rId644" ref="Z496"/>
    <hyperlink r:id="rId645" ref="U497"/>
    <hyperlink r:id="rId646" ref="U498"/>
    <hyperlink r:id="rId647" ref="U499"/>
    <hyperlink r:id="rId648" ref="Y499"/>
    <hyperlink r:id="rId649" ref="Z499"/>
    <hyperlink r:id="rId650" ref="U500"/>
    <hyperlink r:id="rId651" ref="U501"/>
    <hyperlink r:id="rId652" ref="U502"/>
    <hyperlink r:id="rId653" ref="U503"/>
    <hyperlink r:id="rId654" ref="U504"/>
    <hyperlink r:id="rId655" ref="U505"/>
    <hyperlink r:id="rId656" ref="U506"/>
    <hyperlink r:id="rId657" ref="Y506"/>
    <hyperlink r:id="rId658" ref="Z506"/>
    <hyperlink r:id="rId659" ref="U507"/>
    <hyperlink r:id="rId660" ref="U508"/>
    <hyperlink r:id="rId661" location=".YEYK9C3Et24.twitter" ref="Y508"/>
    <hyperlink r:id="rId662" ref="Z508"/>
    <hyperlink r:id="rId663" ref="U509"/>
    <hyperlink r:id="rId664" ref="U510"/>
    <hyperlink r:id="rId665" ref="U511"/>
    <hyperlink r:id="rId666" ref="U512"/>
    <hyperlink r:id="rId667" ref="U513"/>
    <hyperlink r:id="rId668" ref="U514"/>
    <hyperlink r:id="rId669" ref="Y514"/>
    <hyperlink r:id="rId670" ref="Z514"/>
    <hyperlink r:id="rId671" ref="U515"/>
    <hyperlink r:id="rId672" ref="Y515"/>
    <hyperlink r:id="rId673" ref="Z515"/>
    <hyperlink r:id="rId674" ref="U516"/>
    <hyperlink r:id="rId675" ref="U517"/>
    <hyperlink r:id="rId676" ref="Y517"/>
    <hyperlink r:id="rId677" ref="Z517"/>
    <hyperlink r:id="rId678" ref="U518"/>
    <hyperlink r:id="rId679" ref="U519"/>
    <hyperlink r:id="rId680" ref="U520"/>
    <hyperlink r:id="rId681" location=".YEYSUGm3HgI.twitter" ref="Y520"/>
    <hyperlink r:id="rId682" ref="Z520"/>
    <hyperlink r:id="rId683" ref="U521"/>
    <hyperlink r:id="rId684" ref="U522"/>
    <hyperlink r:id="rId685" ref="U523"/>
    <hyperlink r:id="rId686" ref="U524"/>
    <hyperlink r:id="rId687" ref="Y524"/>
    <hyperlink r:id="rId688" ref="Z524"/>
    <hyperlink r:id="rId689" ref="U525"/>
    <hyperlink r:id="rId690" ref="U526"/>
    <hyperlink r:id="rId691" ref="U527"/>
    <hyperlink r:id="rId692" ref="U528"/>
    <hyperlink r:id="rId693" ref="Y528"/>
    <hyperlink r:id="rId694" ref="Z528"/>
    <hyperlink r:id="rId695" ref="U529"/>
    <hyperlink r:id="rId696" ref="Y529"/>
    <hyperlink r:id="rId697" ref="Z529"/>
    <hyperlink r:id="rId698" ref="U530"/>
    <hyperlink r:id="rId699" ref="U531"/>
    <hyperlink r:id="rId700" ref="U532"/>
    <hyperlink r:id="rId701" ref="U533"/>
    <hyperlink r:id="rId702" ref="U534"/>
    <hyperlink r:id="rId703" ref="U535"/>
    <hyperlink r:id="rId704" ref="U536"/>
    <hyperlink r:id="rId705" ref="U537"/>
    <hyperlink r:id="rId706" ref="U538"/>
    <hyperlink r:id="rId707" ref="U539"/>
    <hyperlink r:id="rId708" ref="U540"/>
    <hyperlink r:id="rId709" ref="U541"/>
    <hyperlink r:id="rId710" ref="U542"/>
    <hyperlink r:id="rId711" ref="U543"/>
    <hyperlink r:id="rId712" ref="U544"/>
    <hyperlink r:id="rId713" ref="U545"/>
    <hyperlink r:id="rId714" ref="U546"/>
    <hyperlink r:id="rId715" ref="U547"/>
    <hyperlink r:id="rId716" ref="U548"/>
    <hyperlink r:id="rId717" ref="U549"/>
    <hyperlink r:id="rId718" ref="U550"/>
    <hyperlink r:id="rId719" ref="U551"/>
    <hyperlink r:id="rId720" ref="U552"/>
    <hyperlink r:id="rId721" ref="U553"/>
    <hyperlink r:id="rId722" ref="U554"/>
    <hyperlink r:id="rId723" ref="U555"/>
    <hyperlink r:id="rId724" ref="Y555"/>
    <hyperlink r:id="rId725" ref="Z555"/>
    <hyperlink r:id="rId726" ref="U556"/>
    <hyperlink r:id="rId727" ref="U557"/>
    <hyperlink r:id="rId728" ref="U558"/>
    <hyperlink r:id="rId729" ref="F559"/>
    <hyperlink r:id="rId730" ref="U559"/>
    <hyperlink r:id="rId731" ref="U560"/>
    <hyperlink r:id="rId732" ref="U561"/>
    <hyperlink r:id="rId733" ref="U562"/>
    <hyperlink r:id="rId734" ref="U563"/>
    <hyperlink r:id="rId735" ref="Y563"/>
    <hyperlink r:id="rId736" ref="Z563"/>
    <hyperlink r:id="rId737" ref="U564"/>
    <hyperlink r:id="rId738" ref="U565"/>
    <hyperlink r:id="rId739" ref="U566"/>
    <hyperlink r:id="rId740" ref="U567"/>
    <hyperlink r:id="rId741" ref="U568"/>
    <hyperlink r:id="rId742" ref="U569"/>
    <hyperlink r:id="rId743" ref="U570"/>
    <hyperlink r:id="rId744" ref="U571"/>
    <hyperlink r:id="rId745" ref="U572"/>
    <hyperlink r:id="rId746" ref="U573"/>
    <hyperlink r:id="rId747" ref="U574"/>
    <hyperlink r:id="rId748" ref="U575"/>
    <hyperlink r:id="rId749" ref="U576"/>
    <hyperlink r:id="rId750" ref="U577"/>
    <hyperlink r:id="rId751" ref="U578"/>
    <hyperlink r:id="rId752" ref="U579"/>
    <hyperlink r:id="rId753" ref="U580"/>
    <hyperlink r:id="rId754" ref="U581"/>
    <hyperlink r:id="rId755" ref="U582"/>
    <hyperlink r:id="rId756" ref="Y582"/>
    <hyperlink r:id="rId757" ref="Z582"/>
    <hyperlink r:id="rId758" ref="U583"/>
    <hyperlink r:id="rId759" ref="U584"/>
    <hyperlink r:id="rId760" ref="D585"/>
    <hyperlink r:id="rId761" ref="U585"/>
    <hyperlink r:id="rId762" ref="U586"/>
    <hyperlink r:id="rId763" ref="U587"/>
    <hyperlink r:id="rId764" ref="U588"/>
    <hyperlink r:id="rId765" ref="U589"/>
    <hyperlink r:id="rId766" ref="U590"/>
    <hyperlink r:id="rId767" ref="U591"/>
    <hyperlink r:id="rId768" ref="Y591"/>
    <hyperlink r:id="rId769" ref="Z591"/>
    <hyperlink r:id="rId770" ref="U592"/>
    <hyperlink r:id="rId771" ref="U593"/>
    <hyperlink r:id="rId772" ref="U594"/>
    <hyperlink r:id="rId773" ref="U595"/>
    <hyperlink r:id="rId774" ref="U596"/>
    <hyperlink r:id="rId775" ref="Y596"/>
    <hyperlink r:id="rId776" ref="Z596"/>
    <hyperlink r:id="rId777" ref="U597"/>
    <hyperlink r:id="rId778" ref="Y597"/>
    <hyperlink r:id="rId779" ref="Z597"/>
    <hyperlink r:id="rId780" ref="U598"/>
    <hyperlink r:id="rId781" ref="U599"/>
    <hyperlink r:id="rId782" ref="U600"/>
    <hyperlink r:id="rId783" ref="U601"/>
    <hyperlink r:id="rId784" ref="U602"/>
    <hyperlink r:id="rId785" ref="U603"/>
    <hyperlink r:id="rId786" ref="U604"/>
    <hyperlink r:id="rId787" ref="U605"/>
    <hyperlink r:id="rId788" ref="U606"/>
    <hyperlink r:id="rId789" ref="U607"/>
    <hyperlink r:id="rId790" ref="U608"/>
    <hyperlink r:id="rId791" ref="Y608"/>
    <hyperlink r:id="rId792" ref="Z608"/>
    <hyperlink r:id="rId793" ref="U609"/>
    <hyperlink r:id="rId794" ref="U610"/>
    <hyperlink r:id="rId795" ref="U611"/>
    <hyperlink r:id="rId796" ref="Y611"/>
    <hyperlink r:id="rId797" ref="Z611"/>
    <hyperlink r:id="rId798" ref="U612"/>
    <hyperlink r:id="rId799" ref="U613"/>
    <hyperlink r:id="rId800" ref="U614"/>
    <hyperlink r:id="rId801" ref="U615"/>
    <hyperlink r:id="rId802" ref="U616"/>
    <hyperlink r:id="rId803" ref="U617"/>
    <hyperlink r:id="rId804" ref="U618"/>
    <hyperlink r:id="rId805" ref="U619"/>
    <hyperlink r:id="rId806" ref="U620"/>
    <hyperlink r:id="rId807" ref="U621"/>
    <hyperlink r:id="rId808" ref="Y621"/>
    <hyperlink r:id="rId809" ref="Z621"/>
    <hyperlink r:id="rId810" ref="U622"/>
    <hyperlink r:id="rId811" ref="Y622"/>
    <hyperlink r:id="rId812" ref="Z622"/>
    <hyperlink r:id="rId813" ref="U623"/>
    <hyperlink r:id="rId814" ref="Y623"/>
    <hyperlink r:id="rId815" ref="Z623"/>
    <hyperlink r:id="rId816" ref="U624"/>
    <hyperlink r:id="rId817" ref="U625"/>
    <hyperlink r:id="rId818" ref="Y625"/>
    <hyperlink r:id="rId819" ref="Z625"/>
    <hyperlink r:id="rId820" ref="U626"/>
    <hyperlink r:id="rId821" ref="U627"/>
    <hyperlink r:id="rId822" ref="U628"/>
    <hyperlink r:id="rId823" ref="U629"/>
    <hyperlink r:id="rId824" ref="Y629"/>
    <hyperlink r:id="rId825" ref="Z629"/>
    <hyperlink r:id="rId826" ref="U630"/>
    <hyperlink r:id="rId827" ref="U631"/>
    <hyperlink r:id="rId828" ref="U632"/>
    <hyperlink r:id="rId829" ref="Y632"/>
    <hyperlink r:id="rId830" ref="Z632"/>
    <hyperlink r:id="rId831" ref="U633"/>
    <hyperlink r:id="rId832" ref="U634"/>
    <hyperlink r:id="rId833" ref="U635"/>
    <hyperlink r:id="rId834" ref="U636"/>
    <hyperlink r:id="rId835" ref="U637"/>
    <hyperlink r:id="rId836" ref="U638"/>
    <hyperlink r:id="rId837" ref="U639"/>
    <hyperlink r:id="rId838" ref="U640"/>
    <hyperlink r:id="rId839" ref="Y640"/>
    <hyperlink r:id="rId840" ref="Z640"/>
    <hyperlink r:id="rId841" ref="U641"/>
    <hyperlink r:id="rId842" ref="U642"/>
    <hyperlink r:id="rId843" ref="U643"/>
    <hyperlink r:id="rId844" ref="U644"/>
    <hyperlink r:id="rId845" ref="U645"/>
    <hyperlink r:id="rId846" ref="U646"/>
    <hyperlink r:id="rId847" ref="U647"/>
    <hyperlink r:id="rId848" ref="Y647"/>
    <hyperlink r:id="rId849" ref="Z647"/>
    <hyperlink r:id="rId850" ref="U648"/>
    <hyperlink r:id="rId851" ref="U649"/>
    <hyperlink r:id="rId852" ref="U650"/>
    <hyperlink r:id="rId853" ref="U651"/>
    <hyperlink r:id="rId854" ref="U652"/>
    <hyperlink r:id="rId855" ref="U653"/>
    <hyperlink r:id="rId856" ref="U654"/>
    <hyperlink r:id="rId857" ref="U655"/>
    <hyperlink r:id="rId858" ref="U656"/>
    <hyperlink r:id="rId859" ref="U657"/>
    <hyperlink r:id="rId860" ref="U658"/>
    <hyperlink r:id="rId861" ref="U659"/>
    <hyperlink r:id="rId862" ref="Y659"/>
    <hyperlink r:id="rId863" ref="Z659"/>
    <hyperlink r:id="rId864" ref="U660"/>
    <hyperlink r:id="rId865" ref="U661"/>
    <hyperlink r:id="rId866" location=".YEDOsvwamRs.twitter" ref="Y661"/>
    <hyperlink r:id="rId867" ref="Z661"/>
    <hyperlink r:id="rId868" ref="U662"/>
    <hyperlink r:id="rId869" ref="U663"/>
    <hyperlink r:id="rId870" ref="Y663"/>
    <hyperlink r:id="rId871" ref="Z663"/>
    <hyperlink r:id="rId872" ref="U664"/>
    <hyperlink r:id="rId873" ref="U665"/>
    <hyperlink r:id="rId874" ref="U666"/>
    <hyperlink r:id="rId875" ref="U667"/>
    <hyperlink r:id="rId876" ref="Y667"/>
    <hyperlink r:id="rId877" ref="Z667"/>
    <hyperlink r:id="rId878" ref="U668"/>
    <hyperlink r:id="rId879" ref="Y668"/>
    <hyperlink r:id="rId880" ref="Z668"/>
    <hyperlink r:id="rId881" ref="U669"/>
    <hyperlink r:id="rId882" ref="U670"/>
    <hyperlink r:id="rId883" ref="Y670"/>
    <hyperlink r:id="rId884" ref="Z670"/>
    <hyperlink r:id="rId885" ref="U671"/>
    <hyperlink r:id="rId886" ref="U672"/>
    <hyperlink r:id="rId887" ref="U673"/>
    <hyperlink r:id="rId888" ref="U674"/>
    <hyperlink r:id="rId889" ref="U675"/>
    <hyperlink r:id="rId890" ref="Y675"/>
    <hyperlink r:id="rId891" ref="Z675"/>
    <hyperlink r:id="rId892" ref="U676"/>
    <hyperlink r:id="rId893" ref="Y676"/>
    <hyperlink r:id="rId894" ref="Z676"/>
    <hyperlink r:id="rId895" ref="U677"/>
    <hyperlink r:id="rId896" ref="U678"/>
    <hyperlink r:id="rId897" ref="U679"/>
    <hyperlink r:id="rId898" ref="Y679"/>
    <hyperlink r:id="rId899" ref="Z679"/>
    <hyperlink r:id="rId900" ref="U680"/>
    <hyperlink r:id="rId901" ref="U681"/>
    <hyperlink r:id="rId902" ref="U682"/>
    <hyperlink r:id="rId903" ref="Y682"/>
    <hyperlink r:id="rId904" ref="Z682"/>
    <hyperlink r:id="rId905" ref="U683"/>
    <hyperlink r:id="rId906" ref="Y683"/>
    <hyperlink r:id="rId907" ref="Z683"/>
    <hyperlink r:id="rId908" ref="U684"/>
    <hyperlink r:id="rId909" ref="U685"/>
    <hyperlink r:id="rId910" ref="U686"/>
    <hyperlink r:id="rId911" ref="U687"/>
    <hyperlink r:id="rId912" ref="U688"/>
    <hyperlink r:id="rId913" ref="U689"/>
    <hyperlink r:id="rId914" ref="U690"/>
    <hyperlink r:id="rId915" ref="U691"/>
    <hyperlink r:id="rId916" ref="U692"/>
    <hyperlink r:id="rId917" ref="U693"/>
    <hyperlink r:id="rId918" ref="U694"/>
    <hyperlink r:id="rId919" ref="U695"/>
    <hyperlink r:id="rId920" ref="U696"/>
    <hyperlink r:id="rId921" ref="U697"/>
    <hyperlink r:id="rId922" ref="Y697"/>
    <hyperlink r:id="rId923" ref="Z697"/>
    <hyperlink r:id="rId924" ref="U698"/>
    <hyperlink r:id="rId925" ref="U699"/>
    <hyperlink r:id="rId926" ref="U700"/>
    <hyperlink r:id="rId927" ref="U701"/>
    <hyperlink r:id="rId928" ref="U702"/>
    <hyperlink r:id="rId929" ref="U703"/>
    <hyperlink r:id="rId930" ref="U704"/>
    <hyperlink r:id="rId931" ref="U705"/>
    <hyperlink r:id="rId932" ref="Y705"/>
    <hyperlink r:id="rId933" ref="Z705"/>
    <hyperlink r:id="rId934" ref="U706"/>
    <hyperlink r:id="rId935" ref="U707"/>
    <hyperlink r:id="rId936" ref="U708"/>
    <hyperlink r:id="rId937" ref="U709"/>
    <hyperlink r:id="rId938" ref="U710"/>
    <hyperlink r:id="rId939" ref="U711"/>
    <hyperlink r:id="rId940" ref="Y711"/>
    <hyperlink r:id="rId941" ref="Z711"/>
    <hyperlink r:id="rId942" ref="U712"/>
    <hyperlink r:id="rId943" ref="U713"/>
    <hyperlink r:id="rId944" ref="Y713"/>
    <hyperlink r:id="rId945" ref="Z713"/>
    <hyperlink r:id="rId946" ref="U714"/>
    <hyperlink r:id="rId947" ref="U715"/>
    <hyperlink r:id="rId948" ref="U716"/>
    <hyperlink r:id="rId949" ref="U717"/>
    <hyperlink r:id="rId950" ref="U718"/>
    <hyperlink r:id="rId951" ref="U719"/>
    <hyperlink r:id="rId952" ref="U720"/>
    <hyperlink r:id="rId953" ref="U721"/>
    <hyperlink r:id="rId954" ref="U722"/>
    <hyperlink r:id="rId955" ref="U723"/>
    <hyperlink r:id="rId956" ref="U724"/>
    <hyperlink r:id="rId957" ref="U725"/>
    <hyperlink r:id="rId958" ref="U726"/>
    <hyperlink r:id="rId959" ref="Y726"/>
    <hyperlink r:id="rId960" ref="Z726"/>
    <hyperlink r:id="rId961" ref="U727"/>
    <hyperlink r:id="rId962" ref="U728"/>
    <hyperlink r:id="rId963" ref="U729"/>
    <hyperlink r:id="rId964" ref="U730"/>
    <hyperlink r:id="rId965" ref="U731"/>
    <hyperlink r:id="rId966" ref="U732"/>
    <hyperlink r:id="rId967" ref="U733"/>
    <hyperlink r:id="rId968" ref="Y733"/>
    <hyperlink r:id="rId969" ref="Z733"/>
    <hyperlink r:id="rId970" ref="U734"/>
    <hyperlink r:id="rId971" ref="U735"/>
    <hyperlink r:id="rId972" ref="U736"/>
    <hyperlink r:id="rId973" ref="U737"/>
    <hyperlink r:id="rId974" ref="U738"/>
    <hyperlink r:id="rId975" ref="U739"/>
    <hyperlink r:id="rId976" ref="U740"/>
    <hyperlink r:id="rId977" ref="U741"/>
    <hyperlink r:id="rId978" ref="U742"/>
    <hyperlink r:id="rId979" ref="U743"/>
    <hyperlink r:id="rId980" ref="Y743"/>
    <hyperlink r:id="rId981" ref="Z743"/>
    <hyperlink r:id="rId982" ref="U744"/>
    <hyperlink r:id="rId983" ref="U745"/>
    <hyperlink r:id="rId984" ref="U746"/>
    <hyperlink r:id="rId985" ref="Y746"/>
    <hyperlink r:id="rId986" ref="Z746"/>
    <hyperlink r:id="rId987" ref="U747"/>
    <hyperlink r:id="rId988" ref="U748"/>
    <hyperlink r:id="rId989" ref="U749"/>
    <hyperlink r:id="rId990" ref="U750"/>
    <hyperlink r:id="rId991" ref="U751"/>
    <hyperlink r:id="rId992" ref="U752"/>
    <hyperlink r:id="rId993" ref="U753"/>
    <hyperlink r:id="rId994" ref="U754"/>
    <hyperlink r:id="rId995" ref="U755"/>
    <hyperlink r:id="rId996" ref="Y755"/>
    <hyperlink r:id="rId997" ref="Z755"/>
    <hyperlink r:id="rId998" ref="U756"/>
    <hyperlink r:id="rId999" ref="U757"/>
    <hyperlink r:id="rId1000" ref="U758"/>
    <hyperlink r:id="rId1001" ref="U759"/>
    <hyperlink r:id="rId1002" ref="Y759"/>
    <hyperlink r:id="rId1003" ref="Z759"/>
    <hyperlink r:id="rId1004" ref="U760"/>
    <hyperlink r:id="rId1005" ref="U761"/>
    <hyperlink r:id="rId1006" ref="U762"/>
    <hyperlink r:id="rId1007" ref="U763"/>
    <hyperlink r:id="rId1008" ref="U764"/>
    <hyperlink r:id="rId1009" ref="U765"/>
    <hyperlink r:id="rId1010" ref="Y765"/>
    <hyperlink r:id="rId1011" ref="Z765"/>
    <hyperlink r:id="rId1012" ref="U766"/>
    <hyperlink r:id="rId1013" ref="U767"/>
    <hyperlink r:id="rId1014" ref="U768"/>
    <hyperlink r:id="rId1015" ref="Y768"/>
    <hyperlink r:id="rId1016" ref="Z768"/>
    <hyperlink r:id="rId1017" ref="U769"/>
    <hyperlink r:id="rId1018" ref="U770"/>
    <hyperlink r:id="rId1019" ref="U771"/>
    <hyperlink r:id="rId1020" ref="U772"/>
    <hyperlink r:id="rId1021" ref="Y772"/>
    <hyperlink r:id="rId1022" ref="Z772"/>
    <hyperlink r:id="rId1023" ref="U773"/>
    <hyperlink r:id="rId1024" ref="U774"/>
    <hyperlink r:id="rId1025" ref="U775"/>
    <hyperlink r:id="rId1026" ref="U776"/>
    <hyperlink r:id="rId1027" ref="Y776"/>
    <hyperlink r:id="rId1028" ref="Z776"/>
    <hyperlink r:id="rId1029" ref="U777"/>
    <hyperlink r:id="rId1030" ref="U778"/>
    <hyperlink r:id="rId1031" ref="U779"/>
    <hyperlink r:id="rId1032" ref="U780"/>
    <hyperlink r:id="rId1033" ref="U781"/>
    <hyperlink r:id="rId1034" ref="U782"/>
    <hyperlink r:id="rId1035" ref="U783"/>
    <hyperlink r:id="rId1036" ref="U784"/>
    <hyperlink r:id="rId1037" ref="U785"/>
    <hyperlink r:id="rId1038" ref="U786"/>
    <hyperlink r:id="rId1039" ref="U787"/>
    <hyperlink r:id="rId1040" ref="Y787"/>
    <hyperlink r:id="rId1041" ref="Z787"/>
    <hyperlink r:id="rId1042" ref="U788"/>
    <hyperlink r:id="rId1043" ref="U789"/>
    <hyperlink r:id="rId1044" ref="U790"/>
    <hyperlink r:id="rId1045" ref="U791"/>
    <hyperlink r:id="rId1046" ref="U792"/>
    <hyperlink r:id="rId1047" ref="U793"/>
    <hyperlink r:id="rId1048" ref="U794"/>
    <hyperlink r:id="rId1049" ref="U795"/>
    <hyperlink r:id="rId1050" ref="U796"/>
    <hyperlink r:id="rId1051" ref="U797"/>
    <hyperlink r:id="rId1052" ref="U798"/>
    <hyperlink r:id="rId1053" ref="U799"/>
    <hyperlink r:id="rId1054" ref="U800"/>
    <hyperlink r:id="rId1055" ref="U801"/>
    <hyperlink r:id="rId1056" ref="U802"/>
    <hyperlink r:id="rId1057" ref="U803"/>
    <hyperlink r:id="rId1058" ref="U804"/>
    <hyperlink r:id="rId1059" ref="U805"/>
    <hyperlink r:id="rId1060" ref="U806"/>
    <hyperlink r:id="rId1061" ref="U807"/>
    <hyperlink r:id="rId1062" ref="U808"/>
    <hyperlink r:id="rId1063" ref="U809"/>
    <hyperlink r:id="rId1064" ref="U810"/>
    <hyperlink r:id="rId1065" ref="U811"/>
    <hyperlink r:id="rId1066" ref="U812"/>
    <hyperlink r:id="rId1067" ref="U813"/>
    <hyperlink r:id="rId1068" ref="U814"/>
    <hyperlink r:id="rId1069" ref="U815"/>
    <hyperlink r:id="rId1070" ref="U816"/>
    <hyperlink r:id="rId1071" ref="U817"/>
    <hyperlink r:id="rId1072" ref="U818"/>
    <hyperlink r:id="rId1073" ref="U819"/>
    <hyperlink r:id="rId1074" ref="U820"/>
    <hyperlink r:id="rId1075" ref="U821"/>
    <hyperlink r:id="rId1076" ref="U822"/>
    <hyperlink r:id="rId1077" ref="U823"/>
    <hyperlink r:id="rId1078" ref="U824"/>
    <hyperlink r:id="rId1079" ref="U825"/>
  </hyperlinks>
  <printOptions gridLines="1" horizontalCentered="1"/>
  <pageMargins bottom="0.75" footer="0.0" header="0.0" left="0.7" right="0.7" top="0.75"/>
  <pageSetup cellComments="atEnd" orientation="portrait" pageOrder="overThenDown"/>
  <drawing r:id="rId108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20.86"/>
    <col customWidth="1" min="3" max="3" width="12.29"/>
    <col customWidth="1" min="4" max="4" width="18.43"/>
    <col customWidth="1" min="6" max="6" width="18.43"/>
    <col customWidth="1" min="7" max="7" width="11.86"/>
    <col customWidth="1" min="8" max="8" width="9.0"/>
    <col customWidth="1" min="9" max="9" width="13.57"/>
  </cols>
  <sheetData>
    <row r="1">
      <c r="A1" s="1"/>
      <c r="B1" s="92" t="s">
        <v>40</v>
      </c>
      <c r="C1" s="3" t="s">
        <v>41</v>
      </c>
    </row>
    <row r="2">
      <c r="A2" s="1"/>
      <c r="C2" s="93" t="s">
        <v>42</v>
      </c>
    </row>
    <row r="3">
      <c r="A3" s="33" t="s">
        <v>7</v>
      </c>
      <c r="B3" s="34" t="s">
        <v>8</v>
      </c>
      <c r="C3" s="35" t="s">
        <v>9</v>
      </c>
      <c r="D3" s="36" t="s">
        <v>10</v>
      </c>
      <c r="E3" s="36" t="s">
        <v>11</v>
      </c>
      <c r="F3" s="37" t="s">
        <v>12</v>
      </c>
      <c r="G3" s="43" t="s">
        <v>22</v>
      </c>
      <c r="H3" s="44" t="s">
        <v>23</v>
      </c>
      <c r="I3" s="94" t="s">
        <v>43</v>
      </c>
    </row>
    <row r="4">
      <c r="A4" s="78" t="str">
        <f>'Active and Pre-IPO SPACs'!A5</f>
        <v>AAC</v>
      </c>
      <c r="B4" s="95" t="str">
        <f>'Active and Pre-IPO SPACs'!B5</f>
        <v>Ares Acquisition Corporation</v>
      </c>
      <c r="C4" s="95" t="str">
        <f>'Active and Pre-IPO SPACs'!C5</f>
        <v>Searching</v>
      </c>
      <c r="D4" s="91" t="str">
        <f>'Active and Pre-IPO SPACs'!D5</f>
        <v/>
      </c>
      <c r="E4" s="96" t="str">
        <f>'Active and Pre-IPO SPACs'!E5</f>
        <v/>
      </c>
      <c r="F4" s="97" t="str">
        <f>'Active and Pre-IPO SPACs'!F5</f>
        <v>David Kaplan (Co-Founder/Director, Ares Management), Kathryn Marinello (CEO, PODS; Fmr CEO, Hertz; Director, AB Volvo; Fmr Director, GM)</v>
      </c>
      <c r="G4" s="98">
        <f>'Active and Pre-IPO SPACs'!P5</f>
        <v>44228</v>
      </c>
      <c r="H4" s="99">
        <f>'Active and Pre-IPO SPACs'!Q5</f>
        <v>1000</v>
      </c>
      <c r="I4" s="100" t="str">
        <f>'Active and Pre-IPO SPACs'!M5</f>
        <v>U: [1/5 W]; W: [1:1, $11.5]</v>
      </c>
    </row>
    <row r="5">
      <c r="A5" s="78" t="str">
        <f>'Active and Pre-IPO SPACs'!A6</f>
        <v>AACE</v>
      </c>
      <c r="B5" s="95" t="str">
        <f>'Active and Pre-IPO SPACs'!B6</f>
        <v>Alexandria Agtech/Climate Innovation Acquisition Corp.</v>
      </c>
      <c r="C5" s="95" t="str">
        <f>'Active and Pre-IPO SPACs'!C6</f>
        <v>Pre IPO</v>
      </c>
      <c r="D5" s="101" t="str">
        <f>'Active and Pre-IPO SPACs'!D6</f>
        <v>Agtech and Climate Tech</v>
      </c>
      <c r="E5" s="96" t="str">
        <f>'Active and Pre-IPO SPACs'!E6</f>
        <v/>
      </c>
      <c r="F5" s="97" t="str">
        <f>'Active and Pre-IPO SPACs'!F6</f>
        <v/>
      </c>
      <c r="G5" s="98" t="str">
        <f>'Active and Pre-IPO SPACs'!P6</f>
        <v/>
      </c>
      <c r="H5" s="99">
        <f>'Active and Pre-IPO SPACs'!Q6</f>
        <v>250</v>
      </c>
      <c r="I5" s="100" t="str">
        <f>'Active and Pre-IPO SPACs'!M6</f>
        <v>U: [1/4 W]; W: [1:1, $11.5]</v>
      </c>
    </row>
    <row r="6">
      <c r="A6" s="78" t="str">
        <f>'Active and Pre-IPO SPACs'!A7</f>
        <v>AACO</v>
      </c>
      <c r="B6" s="95" t="str">
        <f>'Active and Pre-IPO SPACs'!B7</f>
        <v>Advancit Acquisition Corp. I</v>
      </c>
      <c r="C6" s="95" t="str">
        <f>'Active and Pre-IPO SPACs'!C7</f>
        <v>Pre IPO</v>
      </c>
      <c r="D6" s="101" t="str">
        <f>'Active and Pre-IPO SPACs'!D7</f>
        <v>Media, Consumer Tech</v>
      </c>
      <c r="E6" s="96" t="str">
        <f>'Active and Pre-IPO SPACs'!E7</f>
        <v/>
      </c>
      <c r="F6" s="97" t="str">
        <f>'Active and Pre-IPO SPACs'!F7</f>
        <v>Jonathan Miller (Fmr CEO, AOL; Fmr Chairman/CEO, News Corp’s Digital Media Group; Fmr Director, Hulu; Director, The Nielsen Company), Randy Freer (Fmr CEO, Hulu; Fmr COO; Fox Networks Group; Fmr COO, Fox Sports Media Group), Troy Carter (Founder, Atom Factory)</v>
      </c>
      <c r="G6" s="98" t="str">
        <f>'Active and Pre-IPO SPACs'!P7</f>
        <v/>
      </c>
      <c r="H6" s="99">
        <f>'Active and Pre-IPO SPACs'!Q7</f>
        <v>350</v>
      </c>
      <c r="I6" s="100" t="str">
        <f>'Active and Pre-IPO SPACs'!M7</f>
        <v>U: [1/3 W]; W: [1:1, $11.5]</v>
      </c>
    </row>
    <row r="7">
      <c r="A7" s="78" t="str">
        <f>'Active and Pre-IPO SPACs'!A8</f>
        <v>AACP</v>
      </c>
      <c r="B7" s="95" t="str">
        <f>'Active and Pre-IPO SPACs'!B8</f>
        <v>Aeon Acquisition Corp.</v>
      </c>
      <c r="C7" s="95" t="str">
        <f>'Active and Pre-IPO SPACs'!C8</f>
        <v>Pre IPO</v>
      </c>
      <c r="D7" s="101" t="str">
        <f>'Active and Pre-IPO SPACs'!D8</f>
        <v>Tech</v>
      </c>
      <c r="E7" s="96" t="str">
        <f>'Active and Pre-IPO SPACs'!E8</f>
        <v/>
      </c>
      <c r="F7" s="97" t="str">
        <f>'Active and Pre-IPO SPACs'!F8</f>
        <v>David Edmondson (Fmr CEO, RadioShack)
</v>
      </c>
      <c r="G7" s="98" t="str">
        <f>'Active and Pre-IPO SPACs'!P8</f>
        <v/>
      </c>
      <c r="H7" s="99">
        <f>'Active and Pre-IPO SPACs'!Q8</f>
        <v>125</v>
      </c>
      <c r="I7" s="100" t="str">
        <f>'Active and Pre-IPO SPACs'!M8</f>
        <v>U: [1/2 W]; W: [1:1, $11.5]</v>
      </c>
    </row>
    <row r="8">
      <c r="A8" s="78" t="str">
        <f>'Active and Pre-IPO SPACs'!A9</f>
        <v>AACQ</v>
      </c>
      <c r="B8" s="95" t="str">
        <f>'Active and Pre-IPO SPACs'!B9</f>
        <v>Artius Acquisition</v>
      </c>
      <c r="C8" s="95" t="str">
        <f>'Active and Pre-IPO SPACs'!C9</f>
        <v>Definitive Agreement</v>
      </c>
      <c r="D8" s="101" t="str">
        <f>'Active and Pre-IPO SPACs'!D9</f>
        <v>Tech</v>
      </c>
      <c r="E8" s="96" t="str">
        <f>'Active and Pre-IPO SPACs'!E9</f>
        <v>Origin Materials [DA: 02/17/21]</v>
      </c>
      <c r="F8" s="97" t="str">
        <f>'Active and Pre-IPO SPACs'!F9</f>
        <v>Charles Drucker (Former CEO, WorldPay)</v>
      </c>
      <c r="G8" s="98">
        <f>'Active and Pre-IPO SPACs'!P9</f>
        <v>44026</v>
      </c>
      <c r="H8" s="99">
        <f>'Active and Pre-IPO SPACs'!Q9</f>
        <v>724.5</v>
      </c>
      <c r="I8" s="100" t="str">
        <f>'Active and Pre-IPO SPACs'!M9</f>
        <v>U: [1/3 W]; W: [1:1, $11.5]</v>
      </c>
    </row>
    <row r="9">
      <c r="A9" s="78" t="str">
        <f>'Active and Pre-IPO SPACs'!A10</f>
        <v>AAQC</v>
      </c>
      <c r="B9" s="95" t="str">
        <f>'Active and Pre-IPO SPACs'!B10</f>
        <v>Accelerate Acquisition Corp.</v>
      </c>
      <c r="C9" s="95" t="str">
        <f>'Active and Pre-IPO SPACs'!C10</f>
        <v>Searching (Pre Unit Split)</v>
      </c>
      <c r="D9" s="91" t="str">
        <f>'Active and Pre-IPO SPACs'!D10</f>
        <v>Industrial, Transportation, Consumer, Retail</v>
      </c>
      <c r="E9" s="96" t="str">
        <f>'Active and Pre-IPO SPACs'!E10</f>
        <v/>
      </c>
      <c r="F9" s="97" t="str">
        <f>'Active and Pre-IPO SPACs'!F10</f>
        <v>Bob Nardelli (Fmr Chairman/CEO, The Home Depot; Fmr Chairman/CEO, Chrysler), Mark Little (Fmr CTO, GE), Mark Weinberger (Fmr Global Chairman/CEO, Ernst &amp; Young; Director, Metlife, Johnson &amp; Johnson, &amp; Saudi Aramco), Dr. John Kelly III (Fmr SVP, Cognitive Solutions at IBM: oversaw IBM’s software business &amp; Watson), Lloyd Trotter (Fmr Vice Chairman, GE; Fmr CEO, GE Industrial; Fmr Director, PepsiCo &amp; Daimler)</v>
      </c>
      <c r="G9" s="98">
        <f>'Active and Pre-IPO SPACs'!P10</f>
        <v>44272</v>
      </c>
      <c r="H9" s="99">
        <f>'Active and Pre-IPO SPACs'!Q10</f>
        <v>400</v>
      </c>
      <c r="I9" s="100" t="str">
        <f>'Active and Pre-IPO SPACs'!M10</f>
        <v>U: [1/3 W]; W: [1:1, $11.5]</v>
      </c>
    </row>
    <row r="10">
      <c r="A10" s="78" t="str">
        <f>'Active and Pre-IPO SPACs'!A11</f>
        <v>ABCO</v>
      </c>
      <c r="B10" s="95" t="str">
        <f>'Active and Pre-IPO SPACs'!B11</f>
        <v>Able Brands Co.</v>
      </c>
      <c r="C10" s="95" t="str">
        <f>'Active and Pre-IPO SPACs'!C11</f>
        <v>Pre IPO</v>
      </c>
      <c r="D10" s="101" t="str">
        <f>'Active and Pre-IPO SPACs'!D11</f>
        <v>Consumer Health and Wellness (Better-for-you products and services)</v>
      </c>
      <c r="E10" s="96" t="str">
        <f>'Active and Pre-IPO SPACs'!E11</f>
        <v/>
      </c>
      <c r="F10" s="97" t="str">
        <f>'Active and Pre-IPO SPACs'!F11</f>
        <v>Amanda Eilian (Founding Partner of Able Partners and Co-founder of Videolicious), Anuradha Subramanian (CFO of Bumble Inc.)</v>
      </c>
      <c r="G10" s="98" t="str">
        <f>'Active and Pre-IPO SPACs'!P11</f>
        <v/>
      </c>
      <c r="H10" s="99">
        <f>'Active and Pre-IPO SPACs'!Q11</f>
        <v>225</v>
      </c>
      <c r="I10" s="100" t="str">
        <f>'Active and Pre-IPO SPACs'!M11</f>
        <v>U: [1/3 W]; W: [1:1, $11.5]</v>
      </c>
    </row>
    <row r="11">
      <c r="A11" s="78" t="str">
        <f>'Active and Pre-IPO SPACs'!A12</f>
        <v>ABGI</v>
      </c>
      <c r="B11" s="95" t="str">
        <f>'Active and Pre-IPO SPACs'!B12</f>
        <v>ABG Acquisition Corp. I</v>
      </c>
      <c r="C11" s="95" t="str">
        <f>'Active and Pre-IPO SPACs'!C12</f>
        <v>Searching</v>
      </c>
      <c r="D11" s="101" t="str">
        <f>'Active and Pre-IPO SPACs'!D12</f>
        <v>Healthcare</v>
      </c>
      <c r="E11" s="96" t="str">
        <f>'Active and Pre-IPO SPACs'!E12</f>
        <v/>
      </c>
      <c r="F11" s="97" t="str">
        <f>'Active and Pre-IPO SPACs'!F12</f>
        <v>Frank Yu (Founder/CEO, Ally Bridge Group)</v>
      </c>
      <c r="G11" s="98">
        <f>'Active and Pre-IPO SPACs'!P12</f>
        <v>44243</v>
      </c>
      <c r="H11" s="99">
        <f>'Active and Pre-IPO SPACs'!Q12</f>
        <v>131</v>
      </c>
      <c r="I11" s="100" t="str">
        <f>'Active and Pre-IPO SPACs'!M12</f>
        <v>U: [No units]; W: [No warrants]</v>
      </c>
    </row>
    <row r="12">
      <c r="A12" s="78" t="str">
        <f>'Active and Pre-IPO SPACs'!A13</f>
        <v>ACAC</v>
      </c>
      <c r="B12" s="95" t="str">
        <f>'Active and Pre-IPO SPACs'!B13</f>
        <v>Acies Acquisition Corp.</v>
      </c>
      <c r="C12" s="95" t="str">
        <f>'Active and Pre-IPO SPACs'!C13</f>
        <v>Definitive Agreement</v>
      </c>
      <c r="D12" s="101" t="str">
        <f>'Active and Pre-IPO SPACs'!D13</f>
        <v>Live events, Entertainment, Gaming, Hospitality, Sports, Casino</v>
      </c>
      <c r="E12" s="96" t="str">
        <f>'Active and Pre-IPO SPACs'!E13</f>
        <v>PLAYSTUDIOS [DA: 02/01/21]</v>
      </c>
      <c r="F12" s="97" t="str">
        <f>'Active and Pre-IPO SPACs'!F13</f>
        <v>James Murren (Fmr CEO, MGM International), Sam Kennedy (Pres/CEO, Boston Red Sox)</v>
      </c>
      <c r="G12" s="98">
        <f>'Active and Pre-IPO SPACs'!P13</f>
        <v>44126</v>
      </c>
      <c r="H12" s="99">
        <f>'Active and Pre-IPO SPACs'!Q13</f>
        <v>200</v>
      </c>
      <c r="I12" s="100" t="str">
        <f>'Active and Pre-IPO SPACs'!M13</f>
        <v>U: [1/3 W]; W: [1:1, $11.5]</v>
      </c>
    </row>
    <row r="13">
      <c r="A13" s="78" t="str">
        <f>'Active and Pre-IPO SPACs'!A14</f>
        <v>ACAH</v>
      </c>
      <c r="B13" s="95" t="str">
        <f>'Active and Pre-IPO SPACs'!B14</f>
        <v>Atlantic Coastal Acquisition Corp.</v>
      </c>
      <c r="C13" s="95" t="str">
        <f>'Active and Pre-IPO SPACs'!C14</f>
        <v>Searching (Pre Unit Split)</v>
      </c>
      <c r="D13" s="101" t="str">
        <f>'Active and Pre-IPO SPACs'!D14</f>
        <v>Next-generation Mobility</v>
      </c>
      <c r="E13" s="96" t="str">
        <f>'Active and Pre-IPO SPACs'!E14</f>
        <v/>
      </c>
      <c r="F13" s="97" t="str">
        <f>'Active and Pre-IPO SPACs'!F14</f>
        <v>Shahraab Ahmad (Founder/CIO, Decca Capital), Bryan Dove (Former CEO, Skyscanner)</v>
      </c>
      <c r="G13" s="98">
        <f>'Active and Pre-IPO SPACs'!P14</f>
        <v>44258</v>
      </c>
      <c r="H13" s="99">
        <f>'Active and Pre-IPO SPACs'!Q14</f>
        <v>300</v>
      </c>
      <c r="I13" s="100" t="str">
        <f>'Active and Pre-IPO SPACs'!M14</f>
        <v>U: [1/3 W]; W: [1:1, $11.5]</v>
      </c>
    </row>
    <row r="14">
      <c r="A14" s="78" t="str">
        <f>'Active and Pre-IPO SPACs'!A15</f>
        <v>ACAM</v>
      </c>
      <c r="B14" s="95" t="str">
        <f>'Active and Pre-IPO SPACs'!B15</f>
        <v>Acamar Partners Acquisition Corp. II</v>
      </c>
      <c r="C14" s="95" t="str">
        <f>'Active and Pre-IPO SPACs'!C15</f>
        <v>Pre IPO</v>
      </c>
      <c r="D14" s="101" t="str">
        <f>'Active and Pre-IPO SPACs'!D15</f>
        <v>Consumer, Retail</v>
      </c>
      <c r="E14" s="96" t="str">
        <f>'Active and Pre-IPO SPACs'!E15</f>
        <v/>
      </c>
      <c r="F14" s="97" t="str">
        <f>'Active and Pre-IPO SPACs'!F15</f>
        <v>Domenico De Sole (Co-founder &amp; Chairman of Tom Ford and Former CEO of Gucci Group), James Skinner (Former Vice Chairman, COO &amp; CFO of Neiman Marcus Group)</v>
      </c>
      <c r="G14" s="98" t="str">
        <f>'Active and Pre-IPO SPACs'!P15</f>
        <v/>
      </c>
      <c r="H14" s="99">
        <f>'Active and Pre-IPO SPACs'!Q15</f>
        <v>350</v>
      </c>
      <c r="I14" s="100" t="str">
        <f>'Active and Pre-IPO SPACs'!M15</f>
        <v>U: [1/4 W]; W: [1:1, $11.5]</v>
      </c>
    </row>
    <row r="15">
      <c r="A15" s="78" t="str">
        <f>'Active and Pre-IPO SPACs'!A16</f>
        <v>ACBA</v>
      </c>
      <c r="B15" s="95" t="str">
        <f>'Active and Pre-IPO SPACs'!B16</f>
        <v>Ace Global Business Acquisition Ltd</v>
      </c>
      <c r="C15" s="95" t="str">
        <f>'Active and Pre-IPO SPACs'!C16</f>
        <v>Searching (Pre Unit Split)</v>
      </c>
      <c r="D15" s="101" t="str">
        <f>'Active and Pre-IPO SPACs'!D16</f>
        <v>Gaming, E-commerce (China, Japan &amp; SE Asia)</v>
      </c>
      <c r="E15" s="96" t="str">
        <f>'Active and Pre-IPO SPACs'!E16</f>
        <v/>
      </c>
      <c r="F15" s="97" t="str">
        <f>'Active and Pre-IPO SPACs'!F16</f>
        <v/>
      </c>
      <c r="G15" s="98">
        <f>'Active and Pre-IPO SPACs'!P16</f>
        <v>44291</v>
      </c>
      <c r="H15" s="99">
        <f>'Active and Pre-IPO SPACs'!Q16</f>
        <v>46.92</v>
      </c>
      <c r="I15" s="100" t="str">
        <f>'Active and Pre-IPO SPACs'!M16</f>
        <v>U: [1 W]; W: [1:1, $11.5]</v>
      </c>
    </row>
    <row r="16">
      <c r="A16" s="78" t="str">
        <f>'Active and Pre-IPO SPACs'!A17</f>
        <v>ACCC</v>
      </c>
      <c r="B16" s="95" t="str">
        <f>'Active and Pre-IPO SPACs'!B17</f>
        <v>Atlas Crest Investment Corp. III</v>
      </c>
      <c r="C16" s="95" t="str">
        <f>'Active and Pre-IPO SPACs'!C17</f>
        <v>Pre IPO</v>
      </c>
      <c r="D16" s="91" t="str">
        <f>'Active and Pre-IPO SPACs'!D17</f>
        <v>Media, Fintech/payments, Software, Tech, Online gaming/sports betting, Healthcare, Consumer</v>
      </c>
      <c r="E16" s="96" t="str">
        <f>'Active and Pre-IPO SPACs'!E17</f>
        <v/>
      </c>
      <c r="F16" s="97" t="str">
        <f>'Active and Pre-IPO SPACs'!F17</f>
        <v>Ken Moelis (Chairman &amp; CEO of Moelis &amp; Co)</v>
      </c>
      <c r="G16" s="98" t="str">
        <f>'Active and Pre-IPO SPACs'!P17</f>
        <v/>
      </c>
      <c r="H16" s="99">
        <f>'Active and Pre-IPO SPACs'!Q17</f>
        <v>600</v>
      </c>
      <c r="I16" s="100" t="str">
        <f>'Active and Pre-IPO SPACs'!M17</f>
        <v>U: [1/4 W]; W: [1:1, $11.5]</v>
      </c>
    </row>
    <row r="17">
      <c r="A17" s="78" t="str">
        <f>'Active and Pre-IPO SPACs'!A18</f>
        <v>ACCV</v>
      </c>
      <c r="B17" s="95" t="str">
        <f>'Active and Pre-IPO SPACs'!B18</f>
        <v>Atlas Crest Investment Corp. V</v>
      </c>
      <c r="C17" s="95" t="str">
        <f>'Active and Pre-IPO SPACs'!C18</f>
        <v>Pre IPO</v>
      </c>
      <c r="D17" s="91" t="str">
        <f>'Active and Pre-IPO SPACs'!D18</f>
        <v>Media, Fintech/payments, Software, Tech, Online gaming/sports betting, Healthcare, Consumer</v>
      </c>
      <c r="E17" s="96" t="str">
        <f>'Active and Pre-IPO SPACs'!E18</f>
        <v/>
      </c>
      <c r="F17" s="97" t="str">
        <f>'Active and Pre-IPO SPACs'!F18</f>
        <v>Ken Moelis (Chairman &amp; CEO of Moelis &amp; Co)</v>
      </c>
      <c r="G17" s="98" t="str">
        <f>'Active and Pre-IPO SPACs'!P18</f>
        <v/>
      </c>
      <c r="H17" s="99">
        <f>'Active and Pre-IPO SPACs'!Q18</f>
        <v>200</v>
      </c>
      <c r="I17" s="100" t="str">
        <f>'Active and Pre-IPO SPACs'!M18</f>
        <v>U: [1/4 W]; W: [1:1, $11.5]</v>
      </c>
    </row>
    <row r="18">
      <c r="A18" s="78" t="str">
        <f>'Active and Pre-IPO SPACs'!A19</f>
        <v>ACEV</v>
      </c>
      <c r="B18" s="95" t="str">
        <f>'Active and Pre-IPO SPACs'!B19</f>
        <v>ACE Convergence Acquisition Corp</v>
      </c>
      <c r="C18" s="95" t="str">
        <f>'Active and Pre-IPO SPACs'!C19</f>
        <v>Definitive Agreement</v>
      </c>
      <c r="D18" s="101" t="str">
        <f>'Active and Pre-IPO SPACs'!D19</f>
        <v>Tech</v>
      </c>
      <c r="E18" s="96" t="str">
        <f>'Active and Pre-IPO SPACs'!E19</f>
        <v>Achronix Semiconductor Corp [DA: 01/07/21]</v>
      </c>
      <c r="F18" s="97" t="str">
        <f>'Active and Pre-IPO SPACs'!F19</f>
        <v/>
      </c>
      <c r="G18" s="98">
        <f>'Active and Pre-IPO SPACs'!P19</f>
        <v>44040</v>
      </c>
      <c r="H18" s="99">
        <f>'Active and Pre-IPO SPACs'!Q19</f>
        <v>230</v>
      </c>
      <c r="I18" s="100" t="str">
        <f>'Active and Pre-IPO SPACs'!M19</f>
        <v>U: [1/2 W]; W: [1:1, $11.5]</v>
      </c>
    </row>
    <row r="19">
      <c r="A19" s="78" t="str">
        <f>'Active and Pre-IPO SPACs'!A20</f>
        <v>ACIC</v>
      </c>
      <c r="B19" s="95" t="str">
        <f>'Active and Pre-IPO SPACs'!B20</f>
        <v>Atlas Crest Investment Corp.</v>
      </c>
      <c r="C19" s="95" t="str">
        <f>'Active and Pre-IPO SPACs'!C20</f>
        <v>Definitive Agreement</v>
      </c>
      <c r="D19" s="91" t="str">
        <f>'Active and Pre-IPO SPACs'!D20</f>
        <v/>
      </c>
      <c r="E19" s="96" t="str">
        <f>'Active and Pre-IPO SPACs'!E20</f>
        <v>Archer Aviation [DA: 02/10/21]</v>
      </c>
      <c r="F19" s="97" t="str">
        <f>'Active and Pre-IPO SPACs'!F20</f>
        <v>Ken Moelis (Chairman/CEO, Moelis &amp; Co)</v>
      </c>
      <c r="G19" s="98">
        <f>'Active and Pre-IPO SPACs'!P20</f>
        <v>44131</v>
      </c>
      <c r="H19" s="99">
        <f>'Active and Pre-IPO SPACs'!Q20</f>
        <v>500</v>
      </c>
      <c r="I19" s="100" t="str">
        <f>'Active and Pre-IPO SPACs'!M20</f>
        <v>U: [1/3 W]; W: [1:1, $11.5]</v>
      </c>
    </row>
    <row r="20">
      <c r="A20" s="78" t="str">
        <f>'Active and Pre-IPO SPACs'!A21</f>
        <v>ACII</v>
      </c>
      <c r="B20" s="95" t="str">
        <f>'Active and Pre-IPO SPACs'!B21</f>
        <v>Atlas Crest Investment Corp. II</v>
      </c>
      <c r="C20" s="95" t="str">
        <f>'Active and Pre-IPO SPACs'!C21</f>
        <v>Searching</v>
      </c>
      <c r="D20" s="91" t="str">
        <f>'Active and Pre-IPO SPACs'!D21</f>
        <v>Media, Fintech, Software, Tech, online gaming, sports betting, Healthcare, Consumer</v>
      </c>
      <c r="E20" s="96" t="str">
        <f>'Active and Pre-IPO SPACs'!E21</f>
        <v/>
      </c>
      <c r="F20" s="97" t="str">
        <f>'Active and Pre-IPO SPACs'!F21</f>
        <v>Ken Moelis (Chairman/CEO, Moelis &amp; Co)</v>
      </c>
      <c r="G20" s="98">
        <f>'Active and Pre-IPO SPACs'!P21</f>
        <v>44230</v>
      </c>
      <c r="H20" s="99">
        <f>'Active and Pre-IPO SPACs'!Q21</f>
        <v>345</v>
      </c>
      <c r="I20" s="100" t="str">
        <f>'Active and Pre-IPO SPACs'!M21</f>
        <v>U: [1/4 W]; W: [1:1, $11.5]</v>
      </c>
    </row>
    <row r="21">
      <c r="A21" s="78" t="str">
        <f>'Active and Pre-IPO SPACs'!A22</f>
        <v>ACIV</v>
      </c>
      <c r="B21" s="95" t="str">
        <f>'Active and Pre-IPO SPACs'!B22</f>
        <v>Atlas Crest Investment Corp. IV</v>
      </c>
      <c r="C21" s="95" t="str">
        <f>'Active and Pre-IPO SPACs'!C22</f>
        <v>Pre IPO</v>
      </c>
      <c r="D21" s="91" t="str">
        <f>'Active and Pre-IPO SPACs'!D22</f>
        <v>Media, Fintech/payments, Software, Tech, Online gaming/sports betting, Healthcare, Consumer</v>
      </c>
      <c r="E21" s="96" t="str">
        <f>'Active and Pre-IPO SPACs'!E22</f>
        <v/>
      </c>
      <c r="F21" s="97" t="str">
        <f>'Active and Pre-IPO SPACs'!F22</f>
        <v>Ken Moelis (Chairman &amp; CEO of Moelis &amp; Co)</v>
      </c>
      <c r="G21" s="98" t="str">
        <f>'Active and Pre-IPO SPACs'!P22</f>
        <v/>
      </c>
      <c r="H21" s="99">
        <f>'Active and Pre-IPO SPACs'!Q22</f>
        <v>400</v>
      </c>
      <c r="I21" s="100" t="str">
        <f>'Active and Pre-IPO SPACs'!M22</f>
        <v>U: [1/4 W]; W: [1:1, $11.5]</v>
      </c>
    </row>
    <row r="22">
      <c r="A22" s="78" t="str">
        <f>'Active and Pre-IPO SPACs'!A23</f>
        <v>ACKIT</v>
      </c>
      <c r="B22" s="95" t="str">
        <f>'Active and Pre-IPO SPACs'!B23</f>
        <v>Ackrell SPAC Partners I Co</v>
      </c>
      <c r="C22" s="95" t="str">
        <f>'Active and Pre-IPO SPACs'!C23</f>
        <v>Searching</v>
      </c>
      <c r="D22" s="101" t="str">
        <f>'Active and Pre-IPO SPACs'!D23</f>
        <v>Branded Consumer Goods</v>
      </c>
      <c r="E22" s="96" t="str">
        <f>'Active and Pre-IPO SPACs'!E23</f>
        <v/>
      </c>
      <c r="F22" s="97" t="str">
        <f>'Active and Pre-IPO SPACs'!F23</f>
        <v/>
      </c>
      <c r="G22" s="98">
        <f>'Active and Pre-IPO SPACs'!P23</f>
        <v>44186</v>
      </c>
      <c r="H22" s="99">
        <f>'Active and Pre-IPO SPACs'!Q23</f>
        <v>138</v>
      </c>
      <c r="I22" s="100" t="str">
        <f>'Active and Pre-IPO SPACs'!M23</f>
        <v>U: [1 SU (1 C, 1/2 W), 1/2 W]; W: [1:1, $11.5]</v>
      </c>
    </row>
    <row r="23">
      <c r="A23" s="78" t="str">
        <f>'Active and Pre-IPO SPACs'!A24</f>
        <v>ACND</v>
      </c>
      <c r="B23" s="95" t="str">
        <f>'Active and Pre-IPO SPACs'!B24</f>
        <v>Ascendant Digital Acquisition</v>
      </c>
      <c r="C23" s="95" t="str">
        <f>'Active and Pre-IPO SPACs'!C24</f>
        <v>Definitive Agreement</v>
      </c>
      <c r="D23" s="91" t="str">
        <f>'Active and Pre-IPO SPACs'!D24</f>
        <v>Digital Media, Entertainment</v>
      </c>
      <c r="E23" s="96" t="str">
        <f>'Active and Pre-IPO SPACs'!E24</f>
        <v>Beacon Street Group [DA: 03/02/21]</v>
      </c>
      <c r="F23" s="97" t="str">
        <f>'Active and Pre-IPO SPACs'!F24</f>
        <v/>
      </c>
      <c r="G23" s="98">
        <f>'Active and Pre-IPO SPACs'!P24</f>
        <v>44036</v>
      </c>
      <c r="H23" s="99">
        <f>'Active and Pre-IPO SPACs'!Q24</f>
        <v>414</v>
      </c>
      <c r="I23" s="100" t="str">
        <f>'Active and Pre-IPO SPACs'!M24</f>
        <v>U: [1/2 W]; W: [1:1, $11.5]</v>
      </c>
    </row>
    <row r="24">
      <c r="A24" s="78" t="str">
        <f>'Active and Pre-IPO SPACs'!A25</f>
        <v>ACQR</v>
      </c>
      <c r="B24" s="95" t="str">
        <f>'Active and Pre-IPO SPACs'!B25</f>
        <v>Independence Holdings Corp.</v>
      </c>
      <c r="C24" s="95" t="str">
        <f>'Active and Pre-IPO SPACs'!C25</f>
        <v>Searching (Pre Unit Split)</v>
      </c>
      <c r="D24" s="101" t="str">
        <f>'Active and Pre-IPO SPACs'!D25</f>
        <v>Fintech, Software, Tech-enabled services</v>
      </c>
      <c r="E24" s="96" t="str">
        <f>'Active and Pre-IPO SPACs'!E25</f>
        <v/>
      </c>
      <c r="F24" s="97" t="str">
        <f>'Active and Pre-IPO SPACs'!F25</f>
        <v>Steven McLaughlin (Founder/CEO, FT Partners), Jonathan Corr (Fmr CEO, Ellie Mae)</v>
      </c>
      <c r="G24" s="98">
        <f>'Active and Pre-IPO SPACs'!P25</f>
        <v>44264</v>
      </c>
      <c r="H24" s="99">
        <f>'Active and Pre-IPO SPACs'!Q25</f>
        <v>495.90908</v>
      </c>
      <c r="I24" s="100" t="str">
        <f>'Active and Pre-IPO SPACs'!M25</f>
        <v>U: [1/5 W]; W: [1:1, $11.5]</v>
      </c>
    </row>
    <row r="25">
      <c r="A25" s="78" t="str">
        <f>'Active and Pre-IPO SPACs'!A26</f>
        <v>ACRO</v>
      </c>
      <c r="B25" s="95" t="str">
        <f>'Active and Pre-IPO SPACs'!B26</f>
        <v>Acropolis Infrastructure Acquisition Corp.</v>
      </c>
      <c r="C25" s="95" t="str">
        <f>'Active and Pre-IPO SPACs'!C26</f>
        <v>Pre IPO</v>
      </c>
      <c r="D25" s="91" t="str">
        <f>'Active and Pre-IPO SPACs'!D26</f>
        <v>Climate infrastructure and other infrastructure</v>
      </c>
      <c r="E25" s="96" t="str">
        <f>'Active and Pre-IPO SPACs'!E26</f>
        <v/>
      </c>
      <c r="F25" s="97" t="str">
        <f>'Active and Pre-IPO SPACs'!F26</f>
        <v>Apollo</v>
      </c>
      <c r="G25" s="98" t="str">
        <f>'Active and Pre-IPO SPACs'!P26</f>
        <v/>
      </c>
      <c r="H25" s="99">
        <f>'Active and Pre-IPO SPACs'!Q26</f>
        <v>400</v>
      </c>
      <c r="I25" s="100" t="str">
        <f>'Active and Pre-IPO SPACs'!M26</f>
        <v>U: [1/5 W]; W: [1:1, $11.5]</v>
      </c>
    </row>
    <row r="26">
      <c r="A26" s="78" t="str">
        <f>'Active and Pre-IPO SPACs'!A27</f>
        <v>ACTC</v>
      </c>
      <c r="B26" s="95" t="str">
        <f>'Active and Pre-IPO SPACs'!B27</f>
        <v>ArcLight Clean Transition Corp</v>
      </c>
      <c r="C26" s="95" t="str">
        <f>'Active and Pre-IPO SPACs'!C27</f>
        <v>Definitive Agreement</v>
      </c>
      <c r="D26" s="91" t="str">
        <f>'Active and Pre-IPO SPACs'!D27</f>
        <v>Sustainable Energy, Renewable Resources</v>
      </c>
      <c r="E26" s="96" t="str">
        <f>'Active and Pre-IPO SPACs'!E27</f>
        <v>Proterra [DA: 01/12/21]</v>
      </c>
      <c r="F26" s="97" t="str">
        <f>'Active and Pre-IPO SPACs'!F27</f>
        <v>Daniel Revers (Founder, ArcLight Capital Partners), Dr. Ja-Chin Audrey Lee (Former VP, Energy Services, Sunrun; Co-Chair, Clean Energy for Biden), Arno Harris (Former Founder/CEO, Recurrent Energy; Director, Pacific Gas &amp; Electric)</v>
      </c>
      <c r="G26" s="98">
        <f>'Active and Pre-IPO SPACs'!P27</f>
        <v>44096</v>
      </c>
      <c r="H26" s="99">
        <f>'Active and Pre-IPO SPACs'!Q27</f>
        <v>250</v>
      </c>
      <c r="I26" s="100" t="str">
        <f>'Active and Pre-IPO SPACs'!M27</f>
        <v>U: [1/2 W]; W: [1:1, $11.5]</v>
      </c>
    </row>
    <row r="27">
      <c r="A27" s="78" t="str">
        <f>'Active and Pre-IPO SPACs'!A28</f>
        <v>ACTD</v>
      </c>
      <c r="B27" s="95" t="str">
        <f>'Active and Pre-IPO SPACs'!B28</f>
        <v>ArcLight Clean Transition Corp. II</v>
      </c>
      <c r="C27" s="95" t="str">
        <f>'Active and Pre-IPO SPACs'!C28</f>
        <v>Searching (Pre Unit Split)</v>
      </c>
      <c r="D27" s="101" t="str">
        <f>'Active and Pre-IPO SPACs'!D28</f>
        <v>Renewable Energy, Energy Transition, Sustainability</v>
      </c>
      <c r="E27" s="96" t="str">
        <f>'Active and Pre-IPO SPACs'!E28</f>
        <v/>
      </c>
      <c r="F27" s="97" t="str">
        <f>'Active and Pre-IPO SPACs'!F28</f>
        <v>Daniel Revers (Founder, ArcLight Capital Partners), Dr. Ja-Chin Audrey Lee (Former VP, Energy Services, Sunrun; Co-Chair, Clean Energy for Biden), Arno Harris (Former Founder/CEO, Recurrent Energy; Director, Pacific Gas &amp; Electric)</v>
      </c>
      <c r="G27" s="98">
        <f>'Active and Pre-IPO SPACs'!P28</f>
        <v>44278</v>
      </c>
      <c r="H27" s="99">
        <f>'Active and Pre-IPO SPACs'!Q28</f>
        <v>311.16305</v>
      </c>
      <c r="I27" s="100" t="str">
        <f>'Active and Pre-IPO SPACs'!M28</f>
        <v>U: [1/5 W]; W: [1:1, $11.5]</v>
      </c>
    </row>
    <row r="28">
      <c r="A28" s="78" t="str">
        <f>'Active and Pre-IPO SPACs'!A29</f>
        <v>ADER</v>
      </c>
      <c r="B28" s="95" t="str">
        <f>'Active and Pre-IPO SPACs'!B29</f>
        <v>26 Capital Acquisition Corp.</v>
      </c>
      <c r="C28" s="95" t="str">
        <f>'Active and Pre-IPO SPACs'!C29</f>
        <v>Searching</v>
      </c>
      <c r="D28" s="91" t="str">
        <f>'Active and Pre-IPO SPACs'!D29</f>
        <v>Gaming, Gaming Tech, Branded Consumer, Lodging &amp; Entertainment, Internet commerce</v>
      </c>
      <c r="E28" s="96" t="str">
        <f>'Active and Pre-IPO SPACs'!E29</f>
        <v/>
      </c>
      <c r="F28" s="97" t="str">
        <f>'Active and Pre-IPO SPACs'!F29</f>
        <v>Jason Ader (Co-founder/CEO, SpringOwl Asset Management)</v>
      </c>
      <c r="G28" s="98">
        <f>'Active and Pre-IPO SPACs'!P29</f>
        <v>44210</v>
      </c>
      <c r="H28" s="99">
        <f>'Active and Pre-IPO SPACs'!Q29</f>
        <v>275</v>
      </c>
      <c r="I28" s="100" t="str">
        <f>'Active and Pre-IPO SPACs'!M29</f>
        <v>U: [1/2 W]; W: [1:1, $11.5]</v>
      </c>
    </row>
    <row r="29">
      <c r="A29" s="78" t="str">
        <f>'Active and Pre-IPO SPACs'!A30</f>
        <v>ADEX</v>
      </c>
      <c r="B29" s="95" t="str">
        <f>'Active and Pre-IPO SPACs'!B30</f>
        <v>Adit EdTech Acquisition Corp.</v>
      </c>
      <c r="C29" s="95" t="str">
        <f>'Active and Pre-IPO SPACs'!C30</f>
        <v>Searching</v>
      </c>
      <c r="D29" s="91" t="str">
        <f>'Active and Pre-IPO SPACs'!D30</f>
        <v>Education, Training, EdTech</v>
      </c>
      <c r="E29" s="96" t="str">
        <f>'Active and Pre-IPO SPACs'!E30</f>
        <v/>
      </c>
      <c r="F29" s="102" t="str">
        <f>'Active and Pre-IPO SPACs'!F30</f>
        <v>David Shrier (Co-founder, Esme Learning Solutions), Bill Bennett (Frm US Secretary of Education; Founding Chairman, K12.com)</v>
      </c>
      <c r="G29" s="98">
        <f>'Active and Pre-IPO SPACs'!P30</f>
        <v>44207</v>
      </c>
      <c r="H29" s="99">
        <f>'Active and Pre-IPO SPACs'!Q30</f>
        <v>276</v>
      </c>
      <c r="I29" s="100" t="str">
        <f>'Active and Pre-IPO SPACs'!M30</f>
        <v>U: [1/2 W]; W: [1:1, $11.5]</v>
      </c>
    </row>
    <row r="30">
      <c r="A30" s="78" t="str">
        <f>'Active and Pre-IPO SPACs'!A31</f>
        <v>ADF</v>
      </c>
      <c r="B30" s="95" t="str">
        <f>'Active and Pre-IPO SPACs'!B31</f>
        <v>Aldel Financial Inc.</v>
      </c>
      <c r="C30" s="95" t="str">
        <f>'Active and Pre-IPO SPACs'!C31</f>
        <v>Searching (Pre Unit Split)</v>
      </c>
      <c r="D30" s="91" t="str">
        <f>'Active and Pre-IPO SPACs'!D31</f>
        <v>Restructuring, Transient Current Ownership</v>
      </c>
      <c r="E30" s="96" t="str">
        <f>'Active and Pre-IPO SPACs'!E31</f>
        <v/>
      </c>
      <c r="F30" s="97" t="str">
        <f>'Active and Pre-IPO SPACs'!F31</f>
        <v>Robert Kauffman (Co-founder,Fortress Investment Group), Charlie Nearburg (Race car driver; Founder, Nearburg Producing Company), Kyle Cerminara (Co-founder, Fundamental Global; President, FGNA)</v>
      </c>
      <c r="G30" s="98">
        <f>'Active and Pre-IPO SPACs'!P31</f>
        <v>44294</v>
      </c>
      <c r="H30" s="99">
        <f>'Active and Pre-IPO SPACs'!Q31</f>
        <v>100</v>
      </c>
      <c r="I30" s="100" t="str">
        <f>'Active and Pre-IPO SPACs'!M31</f>
        <v>U: [1/2 W]; W: [1:1, $11.5]</v>
      </c>
    </row>
    <row r="31">
      <c r="A31" s="78" t="str">
        <f>'Active and Pre-IPO SPACs'!A32</f>
        <v>ADOC</v>
      </c>
      <c r="B31" s="95" t="str">
        <f>'Active and Pre-IPO SPACs'!B32</f>
        <v>Edoc Acquisition Corp.</v>
      </c>
      <c r="C31" s="95" t="str">
        <f>'Active and Pre-IPO SPACs'!C32</f>
        <v>Searching</v>
      </c>
      <c r="D31" s="101" t="str">
        <f>'Active and Pre-IPO SPACs'!D32</f>
        <v>Healthcare, North America &amp; Asia-Pacific</v>
      </c>
      <c r="E31" s="96" t="str">
        <f>'Active and Pre-IPO SPACs'!E32</f>
        <v/>
      </c>
      <c r="F31" s="97" t="str">
        <f>'Active and Pre-IPO SPACs'!F32</f>
        <v/>
      </c>
      <c r="G31" s="98">
        <f>'Active and Pre-IPO SPACs'!P32</f>
        <v>44144</v>
      </c>
      <c r="H31" s="99">
        <f>'Active and Pre-IPO SPACs'!Q32</f>
        <v>91.53</v>
      </c>
      <c r="I31" s="100" t="str">
        <f>'Active and Pre-IPO SPACs'!M32</f>
        <v>U: [1 W, 1 R (1/10 sh)]; W: [2:1, $11.5]</v>
      </c>
    </row>
    <row r="32">
      <c r="A32" s="78" t="str">
        <f>'Active and Pre-IPO SPACs'!A33</f>
        <v>ADRA</v>
      </c>
      <c r="B32" s="95" t="str">
        <f>'Active and Pre-IPO SPACs'!B33</f>
        <v>Adara Acquisition Corp.</v>
      </c>
      <c r="C32" s="95" t="str">
        <f>'Active and Pre-IPO SPACs'!C33</f>
        <v>Searching</v>
      </c>
      <c r="D32" s="91" t="str">
        <f>'Active and Pre-IPO SPACs'!D33</f>
        <v>Consumer Products</v>
      </c>
      <c r="E32" s="96" t="str">
        <f>'Active and Pre-IPO SPACs'!E33</f>
        <v/>
      </c>
      <c r="F32" s="97" t="str">
        <f>'Active and Pre-IPO SPACs'!F33</f>
        <v/>
      </c>
      <c r="G32" s="98">
        <f>'Active and Pre-IPO SPACs'!P33</f>
        <v>44235</v>
      </c>
      <c r="H32" s="99">
        <f>'Active and Pre-IPO SPACs'!Q33</f>
        <v>115</v>
      </c>
      <c r="I32" s="100" t="str">
        <f>'Active and Pre-IPO SPACs'!M33</f>
        <v>U: [1/2 W]; W: [1:1, $11.5]</v>
      </c>
    </row>
    <row r="33">
      <c r="A33" s="78" t="str">
        <f>'Active and Pre-IPO SPACs'!A34</f>
        <v>AEAC</v>
      </c>
      <c r="B33" s="95" t="str">
        <f>'Active and Pre-IPO SPACs'!B34</f>
        <v>Authentic Equity Acquisition Corp.</v>
      </c>
      <c r="C33" s="95" t="str">
        <f>'Active and Pre-IPO SPACs'!C34</f>
        <v>Searching</v>
      </c>
      <c r="D33" s="91" t="str">
        <f>'Active and Pre-IPO SPACs'!D34</f>
        <v>Consumer</v>
      </c>
      <c r="E33" s="96" t="str">
        <f>'Active and Pre-IPO SPACs'!E34</f>
        <v/>
      </c>
      <c r="F33" s="97" t="str">
        <f>'Active and Pre-IPO SPACs'!F34</f>
        <v>Thomas Flocco (Fmr COO, Utz)</v>
      </c>
      <c r="G33" s="98">
        <f>'Active and Pre-IPO SPACs'!P34</f>
        <v>44210</v>
      </c>
      <c r="H33" s="99">
        <f>'Active and Pre-IPO SPACs'!Q34</f>
        <v>230</v>
      </c>
      <c r="I33" s="100" t="str">
        <f>'Active and Pre-IPO SPACs'!M34</f>
        <v>U: [1/2 W]; W: [1:1, $11.5]</v>
      </c>
    </row>
    <row r="34">
      <c r="A34" s="78" t="str">
        <f>'Active and Pre-IPO SPACs'!A35</f>
        <v>AFAC</v>
      </c>
      <c r="B34" s="95" t="str">
        <f>'Active and Pre-IPO SPACs'!B35</f>
        <v>Arena Fortify Acquisition Corp.</v>
      </c>
      <c r="C34" s="95" t="str">
        <f>'Active and Pre-IPO SPACs'!C35</f>
        <v>Pre IPO</v>
      </c>
      <c r="D34" s="101" t="str">
        <f>'Active and Pre-IPO SPACs'!D35</f>
        <v>Natural Resources (recent bankruptcy/restructuring)</v>
      </c>
      <c r="E34" s="96" t="str">
        <f>'Active and Pre-IPO SPACs'!E35</f>
        <v/>
      </c>
      <c r="F34" s="97" t="str">
        <f>'Active and Pre-IPO SPACs'!F35</f>
        <v>Daniel Zwirn (CEO &amp; CIO of Arena Investors and Founder &amp; Former Managing Partner of D.B. Zwirn &amp; Co)</v>
      </c>
      <c r="G34" s="98" t="str">
        <f>'Active and Pre-IPO SPACs'!P35</f>
        <v/>
      </c>
      <c r="H34" s="99">
        <f>'Active and Pre-IPO SPACs'!Q35</f>
        <v>200</v>
      </c>
      <c r="I34" s="100" t="str">
        <f>'Active and Pre-IPO SPACs'!M35</f>
        <v>U: [1/3 W]; W: [1:1, $11.5]</v>
      </c>
    </row>
    <row r="35">
      <c r="A35" s="78" t="str">
        <f>'Active and Pre-IPO SPACs'!A36</f>
        <v>AFAQ</v>
      </c>
      <c r="B35" s="95" t="str">
        <f>'Active and Pre-IPO SPACs'!B36</f>
        <v>AF Acquisition Corp.</v>
      </c>
      <c r="C35" s="95" t="str">
        <f>'Active and Pre-IPO SPACs'!C36</f>
        <v>Searching (Pre Unit Split)</v>
      </c>
      <c r="D35" s="101" t="str">
        <f>'Active and Pre-IPO SPACs'!D36</f>
        <v>Food &amp; Beverage, Health &amp; Wellness, Beauty, Personal care and Pet </v>
      </c>
      <c r="E35" s="96" t="str">
        <f>'Active and Pre-IPO SPACs'!E36</f>
        <v/>
      </c>
      <c r="F35" s="97" t="str">
        <f>'Active and Pre-IPO SPACs'!F36</f>
        <v>Jordan Gaspar (Managing Partner, AF Ventures)</v>
      </c>
      <c r="G35" s="98">
        <f>'Active and Pre-IPO SPACs'!P36</f>
        <v>44273</v>
      </c>
      <c r="H35" s="99">
        <f>'Active and Pre-IPO SPACs'!Q36</f>
        <v>224</v>
      </c>
      <c r="I35" s="100" t="str">
        <f>'Active and Pre-IPO SPACs'!M36</f>
        <v>U: [1/3 W]; W: [1:1, $11.5]</v>
      </c>
    </row>
    <row r="36">
      <c r="A36" s="78" t="str">
        <f>'Active and Pre-IPO SPACs'!A37</f>
        <v>AGAC</v>
      </c>
      <c r="B36" s="95" t="str">
        <f>'Active and Pre-IPO SPACs'!B37</f>
        <v>African Gold Acquisition Corporation</v>
      </c>
      <c r="C36" s="95" t="str">
        <f>'Active and Pre-IPO SPACs'!C37</f>
        <v>Searching</v>
      </c>
      <c r="D36" s="91" t="str">
        <f>'Active and Pre-IPO SPACs'!D37</f>
        <v>Gold Mining</v>
      </c>
      <c r="E36" s="96" t="str">
        <f>'Active and Pre-IPO SPACs'!E37</f>
        <v/>
      </c>
      <c r="F36" s="97" t="str">
        <f>'Active and Pre-IPO SPACs'!F37</f>
        <v>Robert Hersov (Founder/CEO, Invest Africa)</v>
      </c>
      <c r="G36" s="98">
        <f>'Active and Pre-IPO SPACs'!P37</f>
        <v>44252</v>
      </c>
      <c r="H36" s="99">
        <f>'Active and Pre-IPO SPACs'!Q37</f>
        <v>414</v>
      </c>
      <c r="I36" s="100" t="str">
        <f>'Active and Pre-IPO SPACs'!M37</f>
        <v>U: [3/4 W]; W: [1:1, $11.5]</v>
      </c>
    </row>
    <row r="37">
      <c r="A37" s="78" t="str">
        <f>'Active and Pre-IPO SPACs'!A38</f>
        <v>AGBA</v>
      </c>
      <c r="B37" s="95" t="str">
        <f>'Active and Pre-IPO SPACs'!B38</f>
        <v>Agba Acquisition Ltd</v>
      </c>
      <c r="C37" s="95" t="str">
        <f>'Active and Pre-IPO SPACs'!C38</f>
        <v>LOI</v>
      </c>
      <c r="D37" s="101" t="str">
        <f>'Active and Pre-IPO SPACs'!D38</f>
        <v>China</v>
      </c>
      <c r="E37" s="96" t="str">
        <f>'Active and Pre-IPO SPACs'!E38</f>
        <v>Convoy [Non-binding LOI 11/27/20]</v>
      </c>
      <c r="F37" s="97" t="str">
        <f>'Active and Pre-IPO SPACs'!F38</f>
        <v/>
      </c>
      <c r="G37" s="98">
        <f>'Active and Pre-IPO SPACs'!P38</f>
        <v>43599</v>
      </c>
      <c r="H37" s="99">
        <f>'Active and Pre-IPO SPACs'!Q38</f>
        <v>46</v>
      </c>
      <c r="I37" s="100" t="str">
        <f>'Active and Pre-IPO SPACs'!M38</f>
        <v>U: [1 W, 1 R (1/10 sh)]; W: [2:1, $11.5]</v>
      </c>
    </row>
    <row r="38">
      <c r="A38" s="78" t="str">
        <f>'Active and Pre-IPO SPACs'!A39</f>
        <v>AGC</v>
      </c>
      <c r="B38" s="95" t="str">
        <f>'Active and Pre-IPO SPACs'!B39</f>
        <v>Altimeter Growth Corp</v>
      </c>
      <c r="C38" s="95" t="str">
        <f>'Active and Pre-IPO SPACs'!C39</f>
        <v>Searching</v>
      </c>
      <c r="D38" s="91" t="str">
        <f>'Active and Pre-IPO SPACs'!D39</f>
        <v>Tech</v>
      </c>
      <c r="E38" s="96" t="str">
        <f>'Active and Pre-IPO SPACs'!E39</f>
        <v>[In talks (unconfirmed) with Grab: Per Bloomberg 3/12/21]</v>
      </c>
      <c r="F38" s="97" t="str">
        <f>'Active and Pre-IPO SPACs'!F39</f>
        <v>Brad Gerstner (Founder, Altimeter: invested in Facebook, Uber, AirBnB, ByteDance, Twilio, Unity, Snowflake)</v>
      </c>
      <c r="G38" s="98">
        <f>'Active and Pre-IPO SPACs'!P39</f>
        <v>44104</v>
      </c>
      <c r="H38" s="99">
        <f>'Active and Pre-IPO SPACs'!Q39</f>
        <v>500</v>
      </c>
      <c r="I38" s="100" t="str">
        <f>'Active and Pre-IPO SPACs'!M39</f>
        <v>U: [1/5 W]; W: [1:1, $11.5]</v>
      </c>
    </row>
    <row r="39">
      <c r="A39" s="78" t="str">
        <f>'Active and Pre-IPO SPACs'!A40</f>
        <v>AGCB</v>
      </c>
      <c r="B39" s="95" t="str">
        <f>'Active and Pre-IPO SPACs'!B40</f>
        <v>Altimeter Growth Corp 2</v>
      </c>
      <c r="C39" s="95" t="str">
        <f>'Active and Pre-IPO SPACs'!C40</f>
        <v>Searching</v>
      </c>
      <c r="D39" s="91" t="str">
        <f>'Active and Pre-IPO SPACs'!D40</f>
        <v>Tech</v>
      </c>
      <c r="E39" s="96" t="str">
        <f>'Active and Pre-IPO SPACs'!E40</f>
        <v/>
      </c>
      <c r="F39" s="97" t="str">
        <f>'Active and Pre-IPO SPACs'!F40</f>
        <v>Brad Gerstner (Founder, Altimeter: invested in Facebook, Uber, AirBnB, ByteDance, Twilio, Unity, Snowflake)</v>
      </c>
      <c r="G39" s="98">
        <f>'Active and Pre-IPO SPACs'!P40</f>
        <v>44203</v>
      </c>
      <c r="H39" s="99">
        <f>'Active and Pre-IPO SPACs'!Q40</f>
        <v>450</v>
      </c>
      <c r="I39" s="95" t="str">
        <f>'Active and Pre-IPO SPACs'!M40</f>
        <v>U: [No units]; W: [No warrants]</v>
      </c>
    </row>
    <row r="40">
      <c r="A40" s="78" t="str">
        <f>'Active and Pre-IPO SPACs'!A41</f>
        <v>AGGR</v>
      </c>
      <c r="B40" s="95" t="str">
        <f>'Active and Pre-IPO SPACs'!B41</f>
        <v>Agile Growth Corp.</v>
      </c>
      <c r="C40" s="95" t="str">
        <f>'Active and Pre-IPO SPACs'!C41</f>
        <v>Searching (Pre Unit Split)</v>
      </c>
      <c r="D40" s="101" t="str">
        <f>'Active and Pre-IPO SPACs'!D41</f>
        <v>Tech: Software, HCIT, Fintech, robotics/automation, EdTech</v>
      </c>
      <c r="E40" s="96" t="str">
        <f>'Active and Pre-IPO SPACs'!E41</f>
        <v/>
      </c>
      <c r="F40" s="97" t="str">
        <f>'Active and Pre-IPO SPACs'!F41</f>
        <v>Jay Bhatt (Fmr CEO, Alfresco Software; Fmr CEO, Blackboard), John Newton (Founder/CTO, Alfresco Software), Steven Alesio (Fmr Chairman/CEO, Dun &amp; Bradstreet), Carol Bartz (Fmr CEO, Yahoo!; Fmr CEO, Autodesk) 
Carl Bass (Fmr CEO, Autodesk; Fmr Director, Autodesk and Hewlett-Packard)</v>
      </c>
      <c r="G40" s="98">
        <f>'Active and Pre-IPO SPACs'!P41</f>
        <v>44265</v>
      </c>
      <c r="H40" s="99">
        <f>'Active and Pre-IPO SPACs'!Q41</f>
        <v>300</v>
      </c>
      <c r="I40" s="100" t="str">
        <f>'Active and Pre-IPO SPACs'!M41</f>
        <v>U: [1/3 W]; W: [1:1, $11.5]</v>
      </c>
    </row>
    <row r="41">
      <c r="A41" s="78" t="str">
        <f>'Active and Pre-IPO SPACs'!A42</f>
        <v>AHAC</v>
      </c>
      <c r="B41" s="95" t="str">
        <f>'Active and Pre-IPO SPACs'!B42</f>
        <v>Alpha Healthcare Acquisition Corp.</v>
      </c>
      <c r="C41" s="95" t="str">
        <f>'Active and Pre-IPO SPACs'!C42</f>
        <v>Definitive Agreement</v>
      </c>
      <c r="D41" s="91" t="str">
        <f>'Active and Pre-IPO SPACs'!D42</f>
        <v>Healthcare</v>
      </c>
      <c r="E41" s="96" t="str">
        <f>'Active and Pre-IPO SPACs'!E42</f>
        <v>Humacyte [DA: 02/17/21]</v>
      </c>
      <c r="F41" s="97" t="str">
        <f>'Active and Pre-IPO SPACs'!F42</f>
        <v>Rajiv Shukla (CEO, Constellation Alpha SPAC), Brian Robertson (Founder, CEO of VisiQuate)</v>
      </c>
      <c r="G41" s="98">
        <f>'Active and Pre-IPO SPACs'!P42</f>
        <v>44091</v>
      </c>
      <c r="H41" s="99">
        <f>'Active and Pre-IPO SPACs'!Q42</f>
        <v>100</v>
      </c>
      <c r="I41" s="100" t="str">
        <f>'Active and Pre-IPO SPACs'!M42</f>
        <v>U: [1/2 W]; W: [1:1, $11.5]</v>
      </c>
    </row>
    <row r="42">
      <c r="A42" s="78" t="str">
        <f>'Active and Pre-IPO SPACs'!A43</f>
        <v>AJAX</v>
      </c>
      <c r="B42" s="95" t="str">
        <f>'Active and Pre-IPO SPACs'!B43</f>
        <v>Ajax I</v>
      </c>
      <c r="C42" s="95" t="str">
        <f>'Active and Pre-IPO SPACs'!C43</f>
        <v>Definitive Agreement</v>
      </c>
      <c r="D42" s="91" t="str">
        <f>'Active and Pre-IPO SPACs'!D43</f>
        <v>Software, Fintech, Consumer</v>
      </c>
      <c r="E42" s="96" t="str">
        <f>'Active and Pre-IPO SPACs'!E43</f>
        <v>Cazoo [DA: 03/29/21]</v>
      </c>
      <c r="F42" s="97" t="str">
        <f>'Active and Pre-IPO SPACs'!F43</f>
        <v>Dan Och (Fmr CEO, Och-Ziff Capital Management Group), Glenn Fuhrman (Co-founder, MSD Capital), Steve Ells (Founder/Fmr Exec Chairman &amp; CEO, Chipotle), Jim McKelvey Jr. (Co-founder, Square), Kevin Systrom (Co-founder/Fmr CEO, Instagram), Anne Wojicki (Co-founder/CEO, 23andMe)</v>
      </c>
      <c r="G42" s="98">
        <f>'Active and Pre-IPO SPACs'!P43</f>
        <v>44131</v>
      </c>
      <c r="H42" s="99">
        <f>'Active and Pre-IPO SPACs'!Q43</f>
        <v>804.9909</v>
      </c>
      <c r="I42" s="100" t="str">
        <f>'Active and Pre-IPO SPACs'!M43</f>
        <v>U: [1/4 W]; W: [1:1, $11.5]</v>
      </c>
    </row>
    <row r="43">
      <c r="A43" s="78" t="str">
        <f>'Active and Pre-IPO SPACs'!A44</f>
        <v>AKIC</v>
      </c>
      <c r="B43" s="95" t="str">
        <f>'Active and Pre-IPO SPACs'!B44</f>
        <v>Sports Ventures Acquisition Corp.</v>
      </c>
      <c r="C43" s="95" t="str">
        <f>'Active and Pre-IPO SPACs'!C44</f>
        <v>Searching</v>
      </c>
      <c r="D43" s="91" t="str">
        <f>'Active and Pre-IPO SPACs'!D44</f>
        <v>Sports, media &amp; entertainment (traditional &amp; emerging sports, fillm &amp; television production/ infrastructure)</v>
      </c>
      <c r="E43" s="96" t="str">
        <f>'Active and Pre-IPO SPACs'!E44</f>
        <v/>
      </c>
      <c r="F43" s="97" t="str">
        <f>'Active and Pre-IPO SPACs'!F44</f>
        <v>Alan Kestenbaum (Minority Owner, Atlanta Falcons)</v>
      </c>
      <c r="G43" s="98">
        <f>'Active and Pre-IPO SPACs'!P44</f>
        <v>44201</v>
      </c>
      <c r="H43" s="99">
        <f>'Active and Pre-IPO SPACs'!Q44</f>
        <v>230</v>
      </c>
      <c r="I43" s="100" t="str">
        <f>'Active and Pre-IPO SPACs'!M44</f>
        <v>U: [1/3 W]; W: [1:1, $11.5]</v>
      </c>
    </row>
    <row r="44">
      <c r="A44" s="78" t="str">
        <f>'Active and Pre-IPO SPACs'!A45</f>
        <v>ALAC</v>
      </c>
      <c r="B44" s="95" t="str">
        <f>'Active and Pre-IPO SPACs'!B45</f>
        <v>Alberton Acquisition Corp</v>
      </c>
      <c r="C44" s="95" t="str">
        <f>'Active and Pre-IPO SPACs'!C45</f>
        <v>Definitive Agreement</v>
      </c>
      <c r="D44" s="91" t="str">
        <f>'Active and Pre-IPO SPACs'!D45</f>
        <v/>
      </c>
      <c r="E44" s="96" t="str">
        <f>'Active and Pre-IPO SPACs'!E45</f>
        <v>SolarMax Technology [DA: 10/28/20]</v>
      </c>
      <c r="F44" s="97" t="str">
        <f>'Active and Pre-IPO SPACs'!F45</f>
        <v/>
      </c>
      <c r="G44" s="98">
        <f>'Active and Pre-IPO SPACs'!P45</f>
        <v>43397</v>
      </c>
      <c r="H44" s="99">
        <f>'Active and Pre-IPO SPACs'!Q45</f>
        <v>100</v>
      </c>
      <c r="I44" s="100" t="str">
        <f>'Active and Pre-IPO SPACs'!M45</f>
        <v>U: [1 W, 1 R (1/10 sh)]; W: [2:1, $11.5]</v>
      </c>
    </row>
    <row r="45">
      <c r="A45" s="78" t="str">
        <f>'Active and Pre-IPO SPACs'!A46</f>
        <v>ALCC</v>
      </c>
      <c r="B45" s="95" t="str">
        <f>'Active and Pre-IPO SPACs'!B46</f>
        <v>AltC Acquisition Corp.</v>
      </c>
      <c r="C45" s="95" t="str">
        <f>'Active and Pre-IPO SPACs'!C46</f>
        <v>Pre IPO</v>
      </c>
      <c r="D45" s="91" t="str">
        <f>'Active and Pre-IPO SPACs'!D46</f>
        <v>Tech</v>
      </c>
      <c r="E45" s="96" t="str">
        <f>'Active and Pre-IPO SPACs'!E46</f>
        <v/>
      </c>
      <c r="F45" s="97" t="str">
        <f>'Active and Pre-IPO SPACs'!F46</f>
        <v>Michael Klein (Serial SPAC Sponsor: Churchill Capital and Former Chairman &amp; Co-CEO of Citi Markets and Banking), Sam Altman (Co-founder &amp; CEO of OpenAI, Chairman of Y Combinator, and Director of Expedia Group and Reddit)</v>
      </c>
      <c r="G45" s="98" t="str">
        <f>'Active and Pre-IPO SPACs'!P46</f>
        <v/>
      </c>
      <c r="H45" s="99">
        <f>'Active and Pre-IPO SPACs'!Q46</f>
        <v>1000</v>
      </c>
      <c r="I45" s="100" t="str">
        <f>'Active and Pre-IPO SPACs'!M46</f>
        <v>U: [1/6 W]; W: [1:1, $11.5]</v>
      </c>
    </row>
    <row r="46">
      <c r="A46" s="78" t="str">
        <f>'Active and Pre-IPO SPACs'!A47</f>
        <v>ALPA</v>
      </c>
      <c r="B46" s="95" t="str">
        <f>'Active and Pre-IPO SPACs'!B47</f>
        <v>Alpha Healthcare Acquisition Corp. III</v>
      </c>
      <c r="C46" s="95" t="str">
        <f>'Active and Pre-IPO SPACs'!C47</f>
        <v>Pre IPO</v>
      </c>
      <c r="D46" s="101" t="str">
        <f>'Active and Pre-IPO SPACs'!D47</f>
        <v>Healthcare</v>
      </c>
      <c r="E46" s="96" t="str">
        <f>'Active and Pre-IPO SPACs'!E47</f>
        <v/>
      </c>
      <c r="F46" s="97" t="str">
        <f>'Active and Pre-IPO SPACs'!F47</f>
        <v>Rajiv Shukla</v>
      </c>
      <c r="G46" s="98" t="str">
        <f>'Active and Pre-IPO SPACs'!P47</f>
        <v/>
      </c>
      <c r="H46" s="99">
        <f>'Active and Pre-IPO SPACs'!Q47</f>
        <v>150</v>
      </c>
      <c r="I46" s="100" t="str">
        <f>'Active and Pre-IPO SPACs'!M47</f>
        <v>U: [1/4 W]; W: [1:1, $11.5]</v>
      </c>
    </row>
    <row r="47">
      <c r="A47" s="78" t="str">
        <f>'Active and Pre-IPO SPACs'!A48</f>
        <v>ALTE</v>
      </c>
      <c r="B47" s="95" t="str">
        <f>'Active and Pre-IPO SPACs'!B48</f>
        <v>Altitude Acquisition Corp. II</v>
      </c>
      <c r="C47" s="95" t="str">
        <f>'Active and Pre-IPO SPACs'!C48</f>
        <v>Pre IPO</v>
      </c>
      <c r="D47" s="101" t="str">
        <f>'Active and Pre-IPO SPACs'!D48</f>
        <v>Travel, Travel Tech</v>
      </c>
      <c r="E47" s="96" t="str">
        <f>'Active and Pre-IPO SPACs'!E48</f>
        <v/>
      </c>
      <c r="F47" s="97" t="str">
        <f>'Active and Pre-IPO SPACs'!F48</f>
        <v>Gavin Isaacs (Director, DraftKings)</v>
      </c>
      <c r="G47" s="98" t="str">
        <f>'Active and Pre-IPO SPACs'!P48</f>
        <v/>
      </c>
      <c r="H47" s="99">
        <f>'Active and Pre-IPO SPACs'!Q48</f>
        <v>200</v>
      </c>
      <c r="I47" s="100" t="str">
        <f>'Active and Pre-IPO SPACs'!M48</f>
        <v>U: [1/3 W]; W: [1:1, $11.5]</v>
      </c>
    </row>
    <row r="48">
      <c r="A48" s="78" t="str">
        <f>'Active and Pre-IPO SPACs'!A49</f>
        <v>ALTP</v>
      </c>
      <c r="B48" s="95" t="str">
        <f>'Active and Pre-IPO SPACs'!B49</f>
        <v>Altamont Pharma Acquisition Corp.</v>
      </c>
      <c r="C48" s="95" t="str">
        <f>'Active and Pre-IPO SPACs'!C49</f>
        <v>Pre IPO</v>
      </c>
      <c r="D48" s="101" t="str">
        <f>'Active and Pre-IPO SPACs'!D49</f>
        <v>Healthcare, Biopharma, Medical Tech</v>
      </c>
      <c r="E48" s="96" t="str">
        <f>'Active and Pre-IPO SPACs'!E49</f>
        <v/>
      </c>
      <c r="F48" s="97" t="str">
        <f>'Active and Pre-IPO SPACs'!F49</f>
        <v/>
      </c>
      <c r="G48" s="98" t="str">
        <f>'Active and Pre-IPO SPACs'!P49</f>
        <v/>
      </c>
      <c r="H48" s="99">
        <f>'Active and Pre-IPO SPACs'!Q49</f>
        <v>100</v>
      </c>
      <c r="I48" s="100" t="str">
        <f>'Active and Pre-IPO SPACs'!M49</f>
        <v>U: [1 W]; W: [2:1, $11.5]</v>
      </c>
    </row>
    <row r="49">
      <c r="A49" s="78" t="str">
        <f>'Active and Pre-IPO SPACs'!A50</f>
        <v>ALTT</v>
      </c>
      <c r="B49" s="95" t="str">
        <f>'Active and Pre-IPO SPACs'!B50</f>
        <v>Altitude Acquisition Corp. III</v>
      </c>
      <c r="C49" s="95" t="str">
        <f>'Active and Pre-IPO SPACs'!C50</f>
        <v>Pre IPO</v>
      </c>
      <c r="D49" s="101" t="str">
        <f>'Active and Pre-IPO SPACs'!D50</f>
        <v>Travel, Travel Tech</v>
      </c>
      <c r="E49" s="96" t="str">
        <f>'Active and Pre-IPO SPACs'!E50</f>
        <v/>
      </c>
      <c r="F49" s="97" t="str">
        <f>'Active and Pre-IPO SPACs'!F50</f>
        <v>Gavin Isaacs (Director, DraftKings)</v>
      </c>
      <c r="G49" s="98" t="str">
        <f>'Active and Pre-IPO SPACs'!P50</f>
        <v/>
      </c>
      <c r="H49" s="99">
        <f>'Active and Pre-IPO SPACs'!Q50</f>
        <v>350</v>
      </c>
      <c r="I49" s="100" t="str">
        <f>'Active and Pre-IPO SPACs'!M50</f>
        <v>U: [1/3 W]; W: [1:1, $11.5]</v>
      </c>
    </row>
    <row r="50">
      <c r="A50" s="78" t="str">
        <f>'Active and Pre-IPO SPACs'!A51</f>
        <v>ALTU</v>
      </c>
      <c r="B50" s="95" t="str">
        <f>'Active and Pre-IPO SPACs'!B51</f>
        <v>Altitude Acquisition Corp.</v>
      </c>
      <c r="C50" s="95" t="str">
        <f>'Active and Pre-IPO SPACs'!C51</f>
        <v>Searching</v>
      </c>
      <c r="D50" s="91" t="str">
        <f>'Active and Pre-IPO SPACs'!D51</f>
        <v>Travel, Travel Tech</v>
      </c>
      <c r="E50" s="96" t="str">
        <f>'Active and Pre-IPO SPACs'!E51</f>
        <v>[In talks (unconfirmed) with Aerion: Per Bloomberg 2/17/21]</v>
      </c>
      <c r="F50" s="97" t="str">
        <f>'Active and Pre-IPO SPACs'!F51</f>
        <v>Gavin Isaacs (Director, DraftKings)</v>
      </c>
      <c r="G50" s="98">
        <f>'Active and Pre-IPO SPACs'!P51</f>
        <v>44174</v>
      </c>
      <c r="H50" s="99">
        <f>'Active and Pre-IPO SPACs'!Q51</f>
        <v>300</v>
      </c>
      <c r="I50" s="100" t="str">
        <f>'Active and Pre-IPO SPACs'!M51</f>
        <v>U: [1/2 W]; W: [1:1, $11.5]</v>
      </c>
    </row>
    <row r="51">
      <c r="A51" s="78" t="str">
        <f>'Active and Pre-IPO SPACs'!A52</f>
        <v>ALUS</v>
      </c>
      <c r="B51" s="95" t="str">
        <f>'Active and Pre-IPO SPACs'!B52</f>
        <v>Alussa Energy Acquisition Corp</v>
      </c>
      <c r="C51" s="95" t="str">
        <f>'Active and Pre-IPO SPACs'!C52</f>
        <v>Definitive Agreement</v>
      </c>
      <c r="D51" s="91" t="str">
        <f>'Active and Pre-IPO SPACs'!D52</f>
        <v>Oil and Gas</v>
      </c>
      <c r="E51" s="96" t="str">
        <f>'Active and Pre-IPO SPACs'!E52</f>
        <v>FREYR [DA: 01/29/21]</v>
      </c>
      <c r="F51" s="97" t="str">
        <f>'Active and Pre-IPO SPACs'!F52</f>
        <v/>
      </c>
      <c r="G51" s="98">
        <f>'Active and Pre-IPO SPACs'!P52</f>
        <v>43795</v>
      </c>
      <c r="H51" s="99">
        <f>'Active and Pre-IPO SPACs'!Q52</f>
        <v>250</v>
      </c>
      <c r="I51" s="100" t="str">
        <f>'Active and Pre-IPO SPACs'!M52</f>
        <v>U: [1/2 W]; W: [1:1, $11.5]</v>
      </c>
    </row>
    <row r="52">
      <c r="A52" s="78" t="str">
        <f>'Active and Pre-IPO SPACs'!A53</f>
        <v>AMAO</v>
      </c>
      <c r="B52" s="95" t="str">
        <f>'Active and Pre-IPO SPACs'!B53</f>
        <v>American Acquisition Opportunity Inc.</v>
      </c>
      <c r="C52" s="95" t="str">
        <f>'Active and Pre-IPO SPACs'!C53</f>
        <v>Searching (Pre Unit Split)</v>
      </c>
      <c r="D52" s="101" t="str">
        <f>'Active and Pre-IPO SPACs'!D53</f>
        <v>Land and Resources</v>
      </c>
      <c r="E52" s="96" t="str">
        <f>'Active and Pre-IPO SPACs'!E53</f>
        <v/>
      </c>
      <c r="F52" s="97" t="str">
        <f>'Active and Pre-IPO SPACs'!F53</f>
        <v/>
      </c>
      <c r="G52" s="98">
        <f>'Active and Pre-IPO SPACs'!P53</f>
        <v>44272</v>
      </c>
      <c r="H52" s="99">
        <f>'Active and Pre-IPO SPACs'!Q53</f>
        <v>106.06002</v>
      </c>
      <c r="I52" s="100" t="str">
        <f>'Active and Pre-IPO SPACs'!M53</f>
        <v>U: [1/2 W]; W: [1:1, $11.5]</v>
      </c>
    </row>
    <row r="53">
      <c r="A53" s="78" t="str">
        <f>'Active and Pre-IPO SPACs'!A54</f>
        <v>AMCI</v>
      </c>
      <c r="B53" s="95" t="str">
        <f>'Active and Pre-IPO SPACs'!B54</f>
        <v>AMCI Acquisition Corp. II</v>
      </c>
      <c r="C53" s="95" t="str">
        <f>'Active and Pre-IPO SPACs'!C54</f>
        <v>Pre IPO</v>
      </c>
      <c r="D53" s="101" t="str">
        <f>'Active and Pre-IPO SPACs'!D54</f>
        <v>Decarbonization, Sustainability</v>
      </c>
      <c r="E53" s="96" t="str">
        <f>'Active and Pre-IPO SPACs'!E54</f>
        <v/>
      </c>
      <c r="F53" s="97" t="str">
        <f>'Active and Pre-IPO SPACs'!F54</f>
        <v/>
      </c>
      <c r="G53" s="98" t="str">
        <f>'Active and Pre-IPO SPACs'!P54</f>
        <v/>
      </c>
      <c r="H53" s="99">
        <f>'Active and Pre-IPO SPACs'!Q54</f>
        <v>175</v>
      </c>
      <c r="I53" s="100" t="str">
        <f>'Active and Pre-IPO SPACs'!M54</f>
        <v>U: [1/2 W]; W: [1:1, $11.5]</v>
      </c>
    </row>
    <row r="54">
      <c r="A54" s="78" t="str">
        <f>'Active and Pre-IPO SPACs'!A55</f>
        <v>AMHC</v>
      </c>
      <c r="B54" s="95" t="str">
        <f>'Active and Pre-IPO SPACs'!B55</f>
        <v>Amplitude Healthcare Acquisition Corp</v>
      </c>
      <c r="C54" s="95" t="str">
        <f>'Active and Pre-IPO SPACs'!C55</f>
        <v>Searching</v>
      </c>
      <c r="D54" s="91" t="str">
        <f>'Active and Pre-IPO SPACs'!D55</f>
        <v>Healthcare</v>
      </c>
      <c r="E54" s="96" t="str">
        <f>'Active and Pre-IPO SPACs'!E55</f>
        <v/>
      </c>
      <c r="F54" s="97" t="str">
        <f>'Active and Pre-IPO SPACs'!F55</f>
        <v/>
      </c>
      <c r="G54" s="98">
        <f>'Active and Pre-IPO SPACs'!P55</f>
        <v>43788</v>
      </c>
      <c r="H54" s="99">
        <f>'Active and Pre-IPO SPACs'!Q55</f>
        <v>100</v>
      </c>
      <c r="I54" s="100" t="str">
        <f>'Active and Pre-IPO SPACs'!M55</f>
        <v>U: [1/2 W]; W: [1:1, $11.5]</v>
      </c>
    </row>
    <row r="55">
      <c r="A55" s="78" t="str">
        <f>'Active and Pre-IPO SPACs'!A56</f>
        <v>AMPI</v>
      </c>
      <c r="B55" s="95" t="str">
        <f>'Active and Pre-IPO SPACs'!B56</f>
        <v>Advanced Merger Partners, Inc.</v>
      </c>
      <c r="C55" s="95" t="str">
        <f>'Active and Pre-IPO SPACs'!C56</f>
        <v>Searching (Pre Unit Split)</v>
      </c>
      <c r="D55" s="91" t="str">
        <f>'Active and Pre-IPO SPACs'!D56</f>
        <v/>
      </c>
      <c r="E55" s="96" t="str">
        <f>'Active and Pre-IPO SPACs'!E56</f>
        <v/>
      </c>
      <c r="F55" s="97" t="str">
        <f>'Active and Pre-IPO SPACs'!F56</f>
        <v>
Alejandro Santo Domingo (Director, Anheuser-Busch Inbev), Bruce Zimmerman (CIO, Dalio Family Office; Fmr CEO/CIO, UTIMCO)</v>
      </c>
      <c r="G55" s="98">
        <f>'Active and Pre-IPO SPACs'!P56</f>
        <v>44256</v>
      </c>
      <c r="H55" s="99">
        <f>'Active and Pre-IPO SPACs'!Q56</f>
        <v>287.5</v>
      </c>
      <c r="I55" s="100" t="str">
        <f>'Active and Pre-IPO SPACs'!M56</f>
        <v>U: [1/6 W]; W: [1:1, $11.5]</v>
      </c>
    </row>
    <row r="56">
      <c r="A56" s="78" t="str">
        <f>'Active and Pre-IPO SPACs'!A57</f>
        <v>ANAC</v>
      </c>
      <c r="B56" s="95" t="str">
        <f>'Active and Pre-IPO SPACs'!B57</f>
        <v>Arctos NorthStar Acquisition Corp.</v>
      </c>
      <c r="C56" s="95" t="str">
        <f>'Active and Pre-IPO SPACs'!C57</f>
        <v>Searching (Pre Unit Split)</v>
      </c>
      <c r="D56" s="91" t="str">
        <f>'Active and Pre-IPO SPACs'!D57</f>
        <v>Sports, Media &amp; Entertainment</v>
      </c>
      <c r="E56" s="96" t="str">
        <f>'Active and Pre-IPO SPACs'!E57</f>
        <v/>
      </c>
      <c r="F56" s="97" t="str">
        <f>'Active and Pre-IPO SPACs'!F57</f>
        <v>David “Doc” O’Connor (Fmr CEO, The Madison Square Garden Company), Theo Epstein (Fmr General Manager, Boston Red Sox; Fmr President Baseball Ops, Chicago Cubs), Xavier Gutierrez (CEO, Arizona Coyotes Hockey Club), Jared Smith (Fmr President/Global Chairman, Ticketmaster Entertainment)</v>
      </c>
      <c r="G56" s="98">
        <f>'Active and Pre-IPO SPACs'!P57</f>
        <v>44249</v>
      </c>
      <c r="H56" s="99">
        <f>'Active and Pre-IPO SPACs'!Q57</f>
        <v>316.25</v>
      </c>
      <c r="I56" s="100" t="str">
        <f>'Active and Pre-IPO SPACs'!M57</f>
        <v>U: [1/4 W]; W: [1:1, $11.5]</v>
      </c>
    </row>
    <row r="57">
      <c r="A57" s="78" t="str">
        <f>'Active and Pre-IPO SPACs'!A58</f>
        <v>ANDA</v>
      </c>
      <c r="B57" s="95" t="str">
        <f>'Active and Pre-IPO SPACs'!B58</f>
        <v>Andina Acquisition Corp III</v>
      </c>
      <c r="C57" s="95" t="str">
        <f>'Active and Pre-IPO SPACs'!C58</f>
        <v>Definitive Agreement</v>
      </c>
      <c r="D57" s="91" t="str">
        <f>'Active and Pre-IPO SPACs'!D58</f>
        <v>Americas</v>
      </c>
      <c r="E57" s="96" t="str">
        <f>'Active and Pre-IPO SPACs'!E58</f>
        <v>Stryve Foods [DA: 01/28/21]</v>
      </c>
      <c r="F57" s="97" t="str">
        <f>'Active and Pre-IPO SPACs'!F58</f>
        <v>Julio Torres (Andina I, II)</v>
      </c>
      <c r="G57" s="98">
        <f>'Active and Pre-IPO SPACs'!P58</f>
        <v>43493</v>
      </c>
      <c r="H57" s="99">
        <f>'Active and Pre-IPO SPACs'!Q58</f>
        <v>108</v>
      </c>
      <c r="I57" s="100" t="str">
        <f>'Active and Pre-IPO SPACs'!M58</f>
        <v>U: [1 W, 1 R (1/10 sh)]; W: [1:1, $11.5]</v>
      </c>
    </row>
    <row r="58">
      <c r="A58" s="78" t="str">
        <f>'Active and Pre-IPO SPACs'!A59</f>
        <v>ANZU</v>
      </c>
      <c r="B58" s="95" t="str">
        <f>'Active and Pre-IPO SPACs'!B59</f>
        <v>Anzu Special Acquisition Corp I</v>
      </c>
      <c r="C58" s="95" t="str">
        <f>'Active and Pre-IPO SPACs'!C59</f>
        <v>Searching (Pre Unit Split)</v>
      </c>
      <c r="D58" s="101" t="str">
        <f>'Active and Pre-IPO SPACs'!D59</f>
        <v>Industrial Tech</v>
      </c>
      <c r="E58" s="96" t="str">
        <f>'Active and Pre-IPO SPACs'!E59</f>
        <v/>
      </c>
      <c r="F58" s="97" t="str">
        <f>'Active and Pre-IPO SPACs'!F59</f>
        <v/>
      </c>
      <c r="G58" s="98">
        <f>'Active and Pre-IPO SPACs'!P59</f>
        <v>44256</v>
      </c>
      <c r="H58" s="99">
        <f>'Active and Pre-IPO SPACs'!Q59</f>
        <v>420</v>
      </c>
      <c r="I58" s="100" t="str">
        <f>'Active and Pre-IPO SPACs'!M59</f>
        <v>U: [1/3 W]; W: [1:1, $11.5]</v>
      </c>
    </row>
    <row r="59">
      <c r="A59" s="78" t="str">
        <f>'Active and Pre-IPO SPACs'!A60</f>
        <v>AONE</v>
      </c>
      <c r="B59" s="95" t="str">
        <f>'Active and Pre-IPO SPACs'!B60</f>
        <v>one</v>
      </c>
      <c r="C59" s="95" t="str">
        <f>'Active and Pre-IPO SPACs'!C60</f>
        <v>Definitive Agreement</v>
      </c>
      <c r="D59" s="91" t="str">
        <f>'Active and Pre-IPO SPACs'!D60</f>
        <v>Tech</v>
      </c>
      <c r="E59" s="96" t="str">
        <f>'Active and Pre-IPO SPACs'!E60</f>
        <v>Markforged [DA: 02/24/21]</v>
      </c>
      <c r="F59" s="97" t="str">
        <f>'Active and Pre-IPO SPACs'!F60</f>
        <v>Kevin E. Hartz (co-founder of Xoom--acq PayPal-- and Eventbrite); Spike Lipkin (Founded of Newfront Insurance)</v>
      </c>
      <c r="G59" s="98">
        <f>'Active and Pre-IPO SPACs'!P60</f>
        <v>44060</v>
      </c>
      <c r="H59" s="99">
        <f>'Active and Pre-IPO SPACs'!Q60</f>
        <v>215</v>
      </c>
      <c r="I59" s="100" t="str">
        <f>'Active and Pre-IPO SPACs'!M60</f>
        <v>U: [1/4 W]; W: [1:1, $11.5]</v>
      </c>
    </row>
    <row r="60">
      <c r="A60" s="78" t="str">
        <f>'Active and Pre-IPO SPACs'!A61</f>
        <v>APAC</v>
      </c>
      <c r="B60" s="95" t="str">
        <f>'Active and Pre-IPO SPACs'!B61</f>
        <v>StoneBridge Acquisition Corp.</v>
      </c>
      <c r="C60" s="95" t="str">
        <f>'Active and Pre-IPO SPACs'!C61</f>
        <v>Pre IPO</v>
      </c>
      <c r="D60" s="101" t="str">
        <f>'Active and Pre-IPO SPACs'!D61</f>
        <v>Consumer Tech, communications, software, SaaS, Fintech or media </v>
      </c>
      <c r="E60" s="96" t="str">
        <f>'Active and Pre-IPO SPACs'!E61</f>
        <v/>
      </c>
      <c r="F60" s="97" t="str">
        <f>'Active and Pre-IPO SPACs'!F61</f>
        <v/>
      </c>
      <c r="G60" s="98" t="str">
        <f>'Active and Pre-IPO SPACs'!P61</f>
        <v/>
      </c>
      <c r="H60" s="99">
        <f>'Active and Pre-IPO SPACs'!Q61</f>
        <v>200</v>
      </c>
      <c r="I60" s="100" t="str">
        <f>'Active and Pre-IPO SPACs'!M61</f>
        <v>U: [1/2 W]; W: [1:1, $11.5]</v>
      </c>
    </row>
    <row r="61">
      <c r="A61" s="78" t="str">
        <f>'Active and Pre-IPO SPACs'!A62</f>
        <v>APCP</v>
      </c>
      <c r="B61" s="95" t="str">
        <f>'Active and Pre-IPO SPACs'!B62</f>
        <v>Aperture Acquisition Corp</v>
      </c>
      <c r="C61" s="95" t="str">
        <f>'Active and Pre-IPO SPACs'!C62</f>
        <v>Pre IPO</v>
      </c>
      <c r="D61" s="91" t="str">
        <f>'Active and Pre-IPO SPACs'!D62</f>
        <v>Financial Services, Fintech, Real Estate services, Tech, Software</v>
      </c>
      <c r="E61" s="96" t="str">
        <f>'Active and Pre-IPO SPACs'!E62</f>
        <v/>
      </c>
      <c r="F61" s="97" t="str">
        <f>'Active and Pre-IPO SPACs'!F62</f>
        <v>Hans Morris (Fmr MD, General Atlantic; Fmr COO of Citigroup investment banking; Director, Payoneer)</v>
      </c>
      <c r="G61" s="98" t="str">
        <f>'Active and Pre-IPO SPACs'!P62</f>
        <v/>
      </c>
      <c r="H61" s="99">
        <f>'Active and Pre-IPO SPACs'!Q62</f>
        <v>350</v>
      </c>
      <c r="I61" s="100" t="str">
        <f>'Active and Pre-IPO SPACs'!M62</f>
        <v>U: [1/5 W]; W: [1:1, $11.5]</v>
      </c>
    </row>
    <row r="62">
      <c r="A62" s="78" t="str">
        <f>'Active and Pre-IPO SPACs'!A63</f>
        <v>APGB</v>
      </c>
      <c r="B62" s="95" t="str">
        <f>'Active and Pre-IPO SPACs'!B63</f>
        <v>Apollo Strategic Growth Capital II</v>
      </c>
      <c r="C62" s="95" t="str">
        <f>'Active and Pre-IPO SPACs'!C63</f>
        <v>Searching</v>
      </c>
      <c r="D62" s="91" t="str">
        <f>'Active and Pre-IPO SPACs'!D63</f>
        <v/>
      </c>
      <c r="E62" s="96" t="str">
        <f>'Active and Pre-IPO SPACs'!E63</f>
        <v/>
      </c>
      <c r="F62" s="97" t="str">
        <f>'Active and Pre-IPO SPACs'!F63</f>
        <v>Sanjay Patel (Chairman Int'l &amp; SP of PE, Apollo), Scott Kleinman (Co-President, Apollo Global Mgmt)</v>
      </c>
      <c r="G62" s="98">
        <f>'Active and Pre-IPO SPACs'!P63</f>
        <v>44236</v>
      </c>
      <c r="H62" s="99">
        <f>'Active and Pre-IPO SPACs'!Q63</f>
        <v>690</v>
      </c>
      <c r="I62" s="100" t="str">
        <f>'Active and Pre-IPO SPACs'!M63</f>
        <v>U: [1/5 W]; W: [1:1, $11.5]</v>
      </c>
    </row>
    <row r="63">
      <c r="A63" s="78" t="str">
        <f>'Active and Pre-IPO SPACs'!A64</f>
        <v>APGC</v>
      </c>
      <c r="B63" s="95" t="str">
        <f>'Active and Pre-IPO SPACs'!B64</f>
        <v>Apollo Strategic Growth Capital III</v>
      </c>
      <c r="C63" s="95" t="str">
        <f>'Active and Pre-IPO SPACs'!C64</f>
        <v>Pre IPO</v>
      </c>
      <c r="D63" s="91" t="str">
        <f>'Active and Pre-IPO SPACs'!D64</f>
        <v/>
      </c>
      <c r="E63" s="96" t="str">
        <f>'Active and Pre-IPO SPACs'!E64</f>
        <v/>
      </c>
      <c r="F63" s="97" t="str">
        <f>'Active and Pre-IPO SPACs'!F64</f>
        <v>Sanjay Patel  (Chairman International and Senior Partner of Private Equity of Apollo), Laurie Ann Goldman (Former CEO of Spanx)</v>
      </c>
      <c r="G63" s="98" t="str">
        <f>'Active and Pre-IPO SPACs'!P64</f>
        <v/>
      </c>
      <c r="H63" s="99">
        <f>'Active and Pre-IPO SPACs'!Q64</f>
        <v>400</v>
      </c>
      <c r="I63" s="100" t="str">
        <f>'Active and Pre-IPO SPACs'!M64</f>
        <v>U: [1/4 W]; W: [1:1, $11.5]</v>
      </c>
    </row>
    <row r="64">
      <c r="A64" s="78" t="str">
        <f>'Active and Pre-IPO SPACs'!A65</f>
        <v>APSG</v>
      </c>
      <c r="B64" s="95" t="str">
        <f>'Active and Pre-IPO SPACs'!B65</f>
        <v>Apollo Strategic Growth Capital</v>
      </c>
      <c r="C64" s="95" t="str">
        <f>'Active and Pre-IPO SPACs'!C65</f>
        <v>Searching</v>
      </c>
      <c r="D64" s="91" t="str">
        <f>'Active and Pre-IPO SPACs'!D65</f>
        <v/>
      </c>
      <c r="E64" s="96" t="str">
        <f>'Active and Pre-IPO SPACs'!E65</f>
        <v/>
      </c>
      <c r="F64" s="97" t="str">
        <f>'Active and Pre-IPO SPACs'!F65</f>
        <v>Sanjay Patel (Chairman Int'l &amp; SP of PE, Apollo), Scott Kleinman (Co-President, Apollo Global Mgmt), Jennifer Fleiss (Co-founder,Rent the Runway; Fmr CEO, Jetblack) Mitch Garber (Fmr CEO, Optimal Payments; Director, Rackspace &amp; Shutterfly)</v>
      </c>
      <c r="G64" s="98">
        <f>'Active and Pre-IPO SPACs'!P65</f>
        <v>44105</v>
      </c>
      <c r="H64" s="99">
        <f>'Active and Pre-IPO SPACs'!Q65</f>
        <v>816.81</v>
      </c>
      <c r="I64" s="100" t="str">
        <f>'Active and Pre-IPO SPACs'!M65</f>
        <v>U: [1/3 W]; W: [1:1, $11.5]</v>
      </c>
    </row>
    <row r="65">
      <c r="A65" s="78" t="str">
        <f>'Active and Pre-IPO SPACs'!A66</f>
        <v>APTM</v>
      </c>
      <c r="B65" s="95" t="str">
        <f>'Active and Pre-IPO SPACs'!B66</f>
        <v>Alpha Partners Technology Merger Corp.</v>
      </c>
      <c r="C65" s="95" t="str">
        <f>'Active and Pre-IPO SPACs'!C66</f>
        <v>Pre IPO</v>
      </c>
      <c r="D65" s="101" t="str">
        <f>'Active and Pre-IPO SPACs'!D66</f>
        <v>Tech</v>
      </c>
      <c r="E65" s="96" t="str">
        <f>'Active and Pre-IPO SPACs'!E66</f>
        <v/>
      </c>
      <c r="F65" s="97" t="str">
        <f>'Active and Pre-IPO SPACs'!F66</f>
        <v>Scott Grimes (Fmr CEO, Cardlytics)</v>
      </c>
      <c r="G65" s="98" t="str">
        <f>'Active and Pre-IPO SPACs'!P66</f>
        <v/>
      </c>
      <c r="H65" s="99">
        <f>'Active and Pre-IPO SPACs'!Q66</f>
        <v>250</v>
      </c>
      <c r="I65" s="100" t="str">
        <f>'Active and Pre-IPO SPACs'!M66</f>
        <v>U: [1/3 W]; W: [1:1, $11.5]</v>
      </c>
    </row>
    <row r="66">
      <c r="A66" s="78" t="str">
        <f>'Active and Pre-IPO SPACs'!A67</f>
        <v>APXT</v>
      </c>
      <c r="B66" s="95" t="str">
        <f>'Active and Pre-IPO SPACs'!B67</f>
        <v>Apex Technology Acquisition Corp</v>
      </c>
      <c r="C66" s="95" t="str">
        <f>'Active and Pre-IPO SPACs'!C67</f>
        <v>Definitive Agreement</v>
      </c>
      <c r="D66" s="91" t="str">
        <f>'Active and Pre-IPO SPACs'!D67</f>
        <v>Tech, Software, Internet</v>
      </c>
      <c r="E66" s="96" t="str">
        <f>'Active and Pre-IPO SPACs'!E67</f>
        <v>AvePoint [DA: 11/23/20]</v>
      </c>
      <c r="F66" s="97" t="str">
        <f>'Active and Pre-IPO SPACs'!F67</f>
        <v>Jeff Epstein (Former CEO of Oracle)</v>
      </c>
      <c r="G66" s="98">
        <f>'Active and Pre-IPO SPACs'!P67</f>
        <v>43725</v>
      </c>
      <c r="H66" s="99">
        <f>'Active and Pre-IPO SPACs'!Q67</f>
        <v>350</v>
      </c>
      <c r="I66" s="100" t="str">
        <f>'Active and Pre-IPO SPACs'!M67</f>
        <v>U: [1/2 W]; W: [1:1, $11.5]</v>
      </c>
    </row>
    <row r="67">
      <c r="A67" s="78" t="str">
        <f>'Active and Pre-IPO SPACs'!A68</f>
        <v>ARBG</v>
      </c>
      <c r="B67" s="95" t="str">
        <f>'Active and Pre-IPO SPACs'!B68</f>
        <v>Aequi Acquisition Corp.</v>
      </c>
      <c r="C67" s="95" t="str">
        <f>'Active and Pre-IPO SPACs'!C68</f>
        <v>Searching</v>
      </c>
      <c r="D67" s="91" t="str">
        <f>'Active and Pre-IPO SPACs'!D68</f>
        <v>Consumer (Tech-driven, strong ESG)</v>
      </c>
      <c r="E67" s="96" t="str">
        <f>'Active and Pre-IPO SPACs'!E68</f>
        <v/>
      </c>
      <c r="F67" s="97" t="str">
        <f>'Active and Pre-IPO SPACs'!F68</f>
        <v>Advisors: Katia Beauchamp (Co-founder/CEO, Birchbox), Brian Weinstein (Pres/COO, Bad Robot)</v>
      </c>
      <c r="G67" s="98">
        <f>'Active and Pre-IPO SPACs'!P68</f>
        <v>44154</v>
      </c>
      <c r="H67" s="99">
        <f>'Active and Pre-IPO SPACs'!Q68</f>
        <v>230</v>
      </c>
      <c r="I67" s="100" t="str">
        <f>'Active and Pre-IPO SPACs'!M68</f>
        <v>U: [1/3 W]; W: [1:1, $11.5]</v>
      </c>
    </row>
    <row r="68">
      <c r="A68" s="78" t="str">
        <f>'Active and Pre-IPO SPACs'!A69</f>
        <v>ARK</v>
      </c>
      <c r="B68" s="95" t="str">
        <f>'Active and Pre-IPO SPACs'!B69</f>
        <v>5G Edge Acquisition Corp.</v>
      </c>
      <c r="C68" s="95" t="str">
        <f>'Active and Pre-IPO SPACs'!C69</f>
        <v>Pre IPO</v>
      </c>
      <c r="D68" s="101" t="str">
        <f>'Active and Pre-IPO SPACs'!D69</f>
        <v>TMT</v>
      </c>
      <c r="E68" s="96" t="str">
        <f>'Active and Pre-IPO SPACs'!E69</f>
        <v/>
      </c>
      <c r="F68" s="97" t="str">
        <f>'Active and Pre-IPO SPACs'!F69</f>
        <v>Douglas Maine (Former CFO of IBM and Director of Acreage Holdings)</v>
      </c>
      <c r="G68" s="98" t="str">
        <f>'Active and Pre-IPO SPACs'!P69</f>
        <v/>
      </c>
      <c r="H68" s="99">
        <f>'Active and Pre-IPO SPACs'!Q69</f>
        <v>300</v>
      </c>
      <c r="I68" s="100" t="str">
        <f>'Active and Pre-IPO SPACs'!M69</f>
        <v>U: [1/3 W]; W: [1:1, $11.5]</v>
      </c>
    </row>
    <row r="69">
      <c r="A69" s="78" t="str">
        <f>'Active and Pre-IPO SPACs'!A70</f>
        <v>ARRW</v>
      </c>
      <c r="B69" s="95" t="str">
        <f>'Active and Pre-IPO SPACs'!B70</f>
        <v>Arrowroot Acquisition Corp.</v>
      </c>
      <c r="C69" s="95" t="str">
        <f>'Active and Pre-IPO SPACs'!C70</f>
        <v>Searching (Pre Unit Split)</v>
      </c>
      <c r="D69" s="101" t="str">
        <f>'Active and Pre-IPO SPACs'!D70</f>
        <v>Enterprise Software, Tech</v>
      </c>
      <c r="E69" s="96" t="str">
        <f>'Active and Pre-IPO SPACs'!E70</f>
        <v/>
      </c>
      <c r="F69" s="97" t="str">
        <f>'Active and Pre-IPO SPACs'!F70</f>
        <v>Dixon Doll (Fmr Director, DirecTV), Gaurav Dhillon (Chairman/CEO, SnapLogic)</v>
      </c>
      <c r="G69" s="98">
        <f>'Active and Pre-IPO SPACs'!P70</f>
        <v>44256</v>
      </c>
      <c r="H69" s="99">
        <f>'Active and Pre-IPO SPACs'!Q70</f>
        <v>287.5</v>
      </c>
      <c r="I69" s="100" t="str">
        <f>'Active and Pre-IPO SPACs'!M70</f>
        <v>U: [1/2 W]; W: [1:1, $11.5]</v>
      </c>
    </row>
    <row r="70">
      <c r="A70" s="78" t="str">
        <f>'Active and Pre-IPO SPACs'!A71</f>
        <v>ARTA</v>
      </c>
      <c r="B70" s="95" t="str">
        <f>'Active and Pre-IPO SPACs'!B71</f>
        <v>Artisan Acquisition Corp.</v>
      </c>
      <c r="C70" s="95" t="str">
        <f>'Active and Pre-IPO SPACs'!C71</f>
        <v>Pre IPO</v>
      </c>
      <c r="D70" s="101" t="str">
        <f>'Active and Pre-IPO SPACs'!D71</f>
        <v>Healthcare, Consumer, Tech, China</v>
      </c>
      <c r="E70" s="96" t="str">
        <f>'Active and Pre-IPO SPACs'!E71</f>
        <v/>
      </c>
      <c r="F70" s="97" t="str">
        <f>'Active and Pre-IPO SPACs'!F71</f>
        <v>Mitch Garber (Chairman of Invest in Canada, Fmr Chairman of Cirque du Soleil, Fmr CEO of Optimal Payments/Paysafe)</v>
      </c>
      <c r="G70" s="98" t="str">
        <f>'Active and Pre-IPO SPACs'!P71</f>
        <v/>
      </c>
      <c r="H70" s="99">
        <f>'Active and Pre-IPO SPACs'!Q71</f>
        <v>300</v>
      </c>
      <c r="I70" s="100" t="str">
        <f>'Active and Pre-IPO SPACs'!M71</f>
        <v>U: [1/3 W]; W: [1:1, $11.5]</v>
      </c>
    </row>
    <row r="71">
      <c r="A71" s="78" t="str">
        <f>'Active and Pre-IPO SPACs'!A72</f>
        <v>ARTE</v>
      </c>
      <c r="B71" s="95" t="str">
        <f>'Active and Pre-IPO SPACs'!B72</f>
        <v>Artemis Strategic Investment Corp</v>
      </c>
      <c r="C71" s="95" t="str">
        <f>'Active and Pre-IPO SPACs'!C72</f>
        <v>Pre IPO</v>
      </c>
      <c r="D71" s="101" t="str">
        <f>'Active and Pre-IPO SPACs'!D72</f>
        <v>Tech in Gaming, Hospitality, &amp; Entertainment</v>
      </c>
      <c r="E71" s="96" t="str">
        <f>'Active and Pre-IPO SPACs'!E72</f>
        <v/>
      </c>
      <c r="F71" s="97" t="str">
        <f>'Active and Pre-IPO SPACs'!F72</f>
        <v>Holly Gagnon (Fmr CEO, Seneca Gaming), </v>
      </c>
      <c r="G71" s="98" t="str">
        <f>'Active and Pre-IPO SPACs'!P72</f>
        <v/>
      </c>
      <c r="H71" s="99">
        <f>'Active and Pre-IPO SPACs'!Q72</f>
        <v>150</v>
      </c>
      <c r="I71" s="100" t="str">
        <f>'Active and Pre-IPO SPACs'!M72</f>
        <v>U: [1/3 W]; W: [1:1, $11.5]</v>
      </c>
    </row>
    <row r="72">
      <c r="A72" s="78" t="str">
        <f>'Active and Pre-IPO SPACs'!A73</f>
        <v>ARYA</v>
      </c>
      <c r="B72" s="95" t="str">
        <f>'Active and Pre-IPO SPACs'!B73</f>
        <v>ARYA Sciences Acquisition Corp III</v>
      </c>
      <c r="C72" s="95" t="str">
        <f>'Active and Pre-IPO SPACs'!C73</f>
        <v>Definitive Agreement</v>
      </c>
      <c r="D72" s="91" t="str">
        <f>'Active and Pre-IPO SPACs'!D73</f>
        <v>Healthcare</v>
      </c>
      <c r="E72" s="96" t="str">
        <f>'Active and Pre-IPO SPACs'!E73</f>
        <v>Nautilus Biotechnology [DA: 02/08/21]</v>
      </c>
      <c r="F72" s="97" t="str">
        <f>'Active and Pre-IPO SPACs'!F73</f>
        <v>Perceptive Advisors</v>
      </c>
      <c r="G72" s="98">
        <f>'Active and Pre-IPO SPACs'!P73</f>
        <v>44049</v>
      </c>
      <c r="H72" s="99">
        <f>'Active and Pre-IPO SPACs'!Q73</f>
        <v>149.5</v>
      </c>
      <c r="I72" s="100" t="str">
        <f>'Active and Pre-IPO SPACs'!M73</f>
        <v>U: [No units]; W: [No warrants]</v>
      </c>
    </row>
    <row r="73">
      <c r="A73" s="78" t="str">
        <f>'Active and Pre-IPO SPACs'!A74</f>
        <v>ARYD</v>
      </c>
      <c r="B73" s="95" t="str">
        <f>'Active and Pre-IPO SPACs'!B74</f>
        <v>ARYA Sciences Acquisition Corp IV</v>
      </c>
      <c r="C73" s="95" t="str">
        <f>'Active and Pre-IPO SPACs'!C74</f>
        <v>Searching</v>
      </c>
      <c r="D73" s="101" t="str">
        <f>'Active and Pre-IPO SPACs'!D74</f>
        <v>Healthcare</v>
      </c>
      <c r="E73" s="96" t="str">
        <f>'Active and Pre-IPO SPACs'!E74</f>
        <v/>
      </c>
      <c r="F73" s="97" t="str">
        <f>'Active and Pre-IPO SPACs'!F74</f>
        <v>Joseph Edelman (Founder/CEO, Perceptive Advisors)</v>
      </c>
      <c r="G73" s="98">
        <f>'Active and Pre-IPO SPACs'!P74</f>
        <v>44252</v>
      </c>
      <c r="H73" s="99">
        <f>'Active and Pre-IPO SPACs'!Q74</f>
        <v>149.5</v>
      </c>
      <c r="I73" s="100" t="str">
        <f>'Active and Pre-IPO SPACs'!M74</f>
        <v>U: [No units]; W: [No warrants]</v>
      </c>
    </row>
    <row r="74">
      <c r="A74" s="78" t="str">
        <f>'Active and Pre-IPO SPACs'!A75</f>
        <v>ASAQ</v>
      </c>
      <c r="B74" s="95" t="str">
        <f>'Active and Pre-IPO SPACs'!B75</f>
        <v>Atlantic Street Acquisition Corp</v>
      </c>
      <c r="C74" s="95" t="str">
        <f>'Active and Pre-IPO SPACs'!C75</f>
        <v>Searching</v>
      </c>
      <c r="D74" s="91" t="str">
        <f>'Active and Pre-IPO SPACs'!D75</f>
        <v/>
      </c>
      <c r="E74" s="96" t="str">
        <f>'Active and Pre-IPO SPACs'!E75</f>
        <v/>
      </c>
      <c r="F74" s="97" t="str">
        <f>'Active and Pre-IPO SPACs'!F75</f>
        <v/>
      </c>
      <c r="G74" s="98">
        <f>'Active and Pre-IPO SPACs'!P75</f>
        <v>44105</v>
      </c>
      <c r="H74" s="99">
        <f>'Active and Pre-IPO SPACs'!Q75</f>
        <v>250</v>
      </c>
      <c r="I74" s="100" t="str">
        <f>'Active and Pre-IPO SPACs'!M75</f>
        <v>U: [1/2 W]; W: [1:1, $11.5]</v>
      </c>
    </row>
    <row r="75">
      <c r="A75" s="78" t="str">
        <f>'Active and Pre-IPO SPACs'!A76</f>
        <v>ASAX</v>
      </c>
      <c r="B75" s="95" t="str">
        <f>'Active and Pre-IPO SPACs'!B76</f>
        <v>Astrea Acquisition Corp.</v>
      </c>
      <c r="C75" s="95" t="str">
        <f>'Active and Pre-IPO SPACs'!C76</f>
        <v>Searching</v>
      </c>
      <c r="D75" s="91" t="str">
        <f>'Active and Pre-IPO SPACs'!D76</f>
        <v/>
      </c>
      <c r="E75" s="96" t="str">
        <f>'Active and Pre-IPO SPACs'!E76</f>
        <v/>
      </c>
      <c r="F75" s="97" t="str">
        <f>'Active and Pre-IPO SPACs'!F76</f>
        <v/>
      </c>
      <c r="G75" s="98">
        <f>'Active and Pre-IPO SPACs'!P76</f>
        <v>44230</v>
      </c>
      <c r="H75" s="99">
        <f>'Active and Pre-IPO SPACs'!Q76</f>
        <v>150</v>
      </c>
      <c r="I75" s="100" t="str">
        <f>'Active and Pre-IPO SPACs'!M76</f>
        <v>U: [1/2 W]; W: [1:1, $11.5]</v>
      </c>
    </row>
    <row r="76">
      <c r="A76" s="78" t="str">
        <f>'Active and Pre-IPO SPACs'!A77</f>
        <v>ASPC</v>
      </c>
      <c r="B76" s="95" t="str">
        <f>'Active and Pre-IPO SPACs'!B77</f>
        <v>Alpha Capital Acquisition Co</v>
      </c>
      <c r="C76" s="95" t="str">
        <f>'Active and Pre-IPO SPACs'!C77</f>
        <v>Searching (Pre Unit Split)</v>
      </c>
      <c r="D76" s="91" t="str">
        <f>'Active and Pre-IPO SPACs'!D77</f>
        <v>Tech, Latin America</v>
      </c>
      <c r="E76" s="96" t="str">
        <f>'Active and Pre-IPO SPACs'!E77</f>
        <v/>
      </c>
      <c r="F76" s="97" t="str">
        <f>'Active and Pre-IPO SPACs'!F77</f>
        <v>Alec Carlos Francisco Oxenford (Co-founder/Fmr CEO, letgo)</v>
      </c>
      <c r="G76" s="98">
        <f>'Active and Pre-IPO SPACs'!P77</f>
        <v>44245</v>
      </c>
      <c r="H76" s="99">
        <f>'Active and Pre-IPO SPACs'!Q77</f>
        <v>200</v>
      </c>
      <c r="I76" s="100" t="str">
        <f>'Active and Pre-IPO SPACs'!M77</f>
        <v>U: [1/2 W]; W: [1:1, $11.5]</v>
      </c>
    </row>
    <row r="77">
      <c r="A77" s="78" t="str">
        <f>'Active and Pre-IPO SPACs'!A78</f>
        <v>ASPL</v>
      </c>
      <c r="B77" s="95" t="str">
        <f>'Active and Pre-IPO SPACs'!B78</f>
        <v>Aspirational Consumer Lifestyle Corp.</v>
      </c>
      <c r="C77" s="95" t="str">
        <f>'Active and Pre-IPO SPACs'!C78</f>
        <v>Definitive Agreement</v>
      </c>
      <c r="D77" s="91" t="str">
        <f>'Active and Pre-IPO SPACs'!D78</f>
        <v>Consumer, Premium brands that offer an aspirational lifestyle experience</v>
      </c>
      <c r="E77" s="96" t="str">
        <f>'Active and Pre-IPO SPACs'!E78</f>
        <v>Wheels Up [DA: 02/01/21]</v>
      </c>
      <c r="F77" s="97" t="str">
        <f>'Active and Pre-IPO SPACs'!F78</f>
        <v>Ravi Thakran (South Asia Group Chairman of LVMH, Chairman L Catterton Asia)</v>
      </c>
      <c r="G77" s="98">
        <f>'Active and Pre-IPO SPACs'!P78</f>
        <v>44097</v>
      </c>
      <c r="H77" s="99">
        <f>'Active and Pre-IPO SPACs'!Q78</f>
        <v>225</v>
      </c>
      <c r="I77" s="100" t="str">
        <f>'Active and Pre-IPO SPACs'!M78</f>
        <v>U: [1/3 W]; W: [1:1, $11.5]</v>
      </c>
    </row>
    <row r="78">
      <c r="A78" s="78" t="str">
        <f>'Active and Pre-IPO SPACs'!A79</f>
        <v>ASZ</v>
      </c>
      <c r="B78" s="95" t="str">
        <f>'Active and Pre-IPO SPACs'!B79</f>
        <v>Austerlitz Acquisition Corp II</v>
      </c>
      <c r="C78" s="95" t="str">
        <f>'Active and Pre-IPO SPACs'!C79</f>
        <v>Searching (Pre Unit Split)</v>
      </c>
      <c r="D78" s="91" t="str">
        <f>'Active and Pre-IPO SPACs'!D79</f>
        <v>Fintech</v>
      </c>
      <c r="E78" s="96" t="str">
        <f>'Active and Pre-IPO SPACs'!E79</f>
        <v/>
      </c>
      <c r="F78" s="97" t="str">
        <f>'Active and Pre-IPO SPACs'!F79</f>
        <v>Bill Foley (Founder/Chairman of Fidelity National Financial, Chairman of Cannae Holdings, Owner of NHL Team: Vegas Golden Knights)</v>
      </c>
      <c r="G78" s="98">
        <f>'Active and Pre-IPO SPACs'!P79</f>
        <v>44252</v>
      </c>
      <c r="H78" s="99">
        <f>'Active and Pre-IPO SPACs'!Q79</f>
        <v>1380</v>
      </c>
      <c r="I78" s="100" t="str">
        <f>'Active and Pre-IPO SPACs'!M79</f>
        <v>U: [1/4 W]; W: [1:1, $11.5]</v>
      </c>
    </row>
    <row r="79">
      <c r="A79" s="78" t="str">
        <f>'Active and Pre-IPO SPACs'!A80</f>
        <v>ATA</v>
      </c>
      <c r="B79" s="95" t="str">
        <f>'Active and Pre-IPO SPACs'!B80</f>
        <v>Americas Technology Acquisition Corp</v>
      </c>
      <c r="C79" s="95" t="str">
        <f>'Active and Pre-IPO SPACs'!C80</f>
        <v>Searching</v>
      </c>
      <c r="D79" s="91" t="str">
        <f>'Active and Pre-IPO SPACs'!D80</f>
        <v>TMT</v>
      </c>
      <c r="E79" s="96" t="str">
        <f>'Active and Pre-IPO SPACs'!E80</f>
        <v/>
      </c>
      <c r="F79" s="97" t="str">
        <f>'Active and Pre-IPO SPACs'!F80</f>
        <v/>
      </c>
      <c r="G79" s="98">
        <f>'Active and Pre-IPO SPACs'!P80</f>
        <v>44179</v>
      </c>
      <c r="H79" s="99">
        <f>'Active and Pre-IPO SPACs'!Q80</f>
        <v>116.15</v>
      </c>
      <c r="I79" s="100" t="str">
        <f>'Active and Pre-IPO SPACs'!M80</f>
        <v>U: [1/2 W]; W: [1:1, $11.5]</v>
      </c>
    </row>
    <row r="80">
      <c r="A80" s="78" t="str">
        <f>'Active and Pre-IPO SPACs'!A81</f>
        <v>ATAC</v>
      </c>
      <c r="B80" s="95" t="str">
        <f>'Active and Pre-IPO SPACs'!B81</f>
        <v>Altimar Acquisition Corp</v>
      </c>
      <c r="C80" s="95" t="str">
        <f>'Active and Pre-IPO SPACs'!C81</f>
        <v>Definitive Agreement</v>
      </c>
      <c r="D80" s="91" t="str">
        <f>'Active and Pre-IPO SPACs'!D81</f>
        <v/>
      </c>
      <c r="E80" s="96" t="str">
        <f>'Active and Pre-IPO SPACs'!E81</f>
        <v>Owl Rock Capital Group and Dyal Capital Partners [DA: 12/23/20]</v>
      </c>
      <c r="F80" s="97" t="str">
        <f>'Active and Pre-IPO SPACs'!F81</f>
        <v>Tom Wasserman (Managing Director, HPS Investment Partners; Director, Trine Acquisition), Roma Khanna (Former President, MGM Studios Television Group and Digital)</v>
      </c>
      <c r="G80" s="98">
        <f>'Active and Pre-IPO SPACs'!P81</f>
        <v>44126</v>
      </c>
      <c r="H80" s="99">
        <f>'Active and Pre-IPO SPACs'!Q81</f>
        <v>275</v>
      </c>
      <c r="I80" s="100" t="str">
        <f>'Active and Pre-IPO SPACs'!M81</f>
        <v>U: [1/3 W]; W: [1:1, $11.5]</v>
      </c>
    </row>
    <row r="81">
      <c r="A81" s="78" t="str">
        <f>'Active and Pre-IPO SPACs'!A82</f>
        <v>ATAQ</v>
      </c>
      <c r="B81" s="95" t="str">
        <f>'Active and Pre-IPO SPACs'!B82</f>
        <v>Altimar Acquisition Corp. III</v>
      </c>
      <c r="C81" s="95" t="str">
        <f>'Active and Pre-IPO SPACs'!C82</f>
        <v>Searching (Pre Unit Split)</v>
      </c>
      <c r="D81" s="91" t="str">
        <f>'Active and Pre-IPO SPACs'!D82</f>
        <v/>
      </c>
      <c r="E81" s="96" t="str">
        <f>'Active and Pre-IPO SPACs'!E82</f>
        <v/>
      </c>
      <c r="F81" s="97" t="str">
        <f>'Active and Pre-IPO SPACs'!F82</f>
        <v>Tom Wasserman (Managing Director, HPS Investment Partners; Director, Trine Acquisition), Roma Khanna (Former President, MGM Studios Television Group and Digital)</v>
      </c>
      <c r="G81" s="98">
        <f>'Active and Pre-IPO SPACs'!P82</f>
        <v>44259</v>
      </c>
      <c r="H81" s="99">
        <f>'Active and Pre-IPO SPACs'!Q82</f>
        <v>155.25</v>
      </c>
      <c r="I81" s="100" t="str">
        <f>'Active and Pre-IPO SPACs'!M82</f>
        <v>U: [1/4 W]; W: [1:1, $11.5]</v>
      </c>
    </row>
    <row r="82">
      <c r="A82" s="78" t="str">
        <f>'Active and Pre-IPO SPACs'!A83</f>
        <v>ATHN</v>
      </c>
      <c r="B82" s="95" t="str">
        <f>'Active and Pre-IPO SPACs'!B83</f>
        <v>Athena Technology Acquisition Corp.</v>
      </c>
      <c r="C82" s="95" t="str">
        <f>'Active and Pre-IPO SPACs'!C83</f>
        <v>Searching (Pre Unit Split)</v>
      </c>
      <c r="D82" s="91" t="str">
        <f>'Active and Pre-IPO SPACs'!D83</f>
        <v>Tech, Direct to Consumer, Fintech</v>
      </c>
      <c r="E82" s="96" t="str">
        <f>'Active and Pre-IPO SPACs'!E83</f>
        <v/>
      </c>
      <c r="F82" s="97" t="str">
        <f>'Active and Pre-IPO SPACs'!F83</f>
        <v>Isbelle Freidheim (Co-founder/MP, Starwood VC), Judith Rodin (Fmr President, The Rockefeller Foundation; Fmr Director, Comcast &amp; American Airlines), Kristen Dickey (Director, BNY Mellon)</v>
      </c>
      <c r="G82" s="98">
        <f>'Active and Pre-IPO SPACs'!P83</f>
        <v>44271</v>
      </c>
      <c r="H82" s="99">
        <f>'Active and Pre-IPO SPACs'!Q83</f>
        <v>250</v>
      </c>
      <c r="I82" s="100" t="str">
        <f>'Active and Pre-IPO SPACs'!M83</f>
        <v>U: [1/3 W]; W: [1:1, $11.5]</v>
      </c>
    </row>
    <row r="83">
      <c r="A83" s="78" t="str">
        <f>'Active and Pre-IPO SPACs'!A84</f>
        <v>ATMR</v>
      </c>
      <c r="B83" s="95" t="str">
        <f>'Active and Pre-IPO SPACs'!B84</f>
        <v>Altimar Acquisition Corp. II</v>
      </c>
      <c r="C83" s="95" t="str">
        <f>'Active and Pre-IPO SPACs'!C84</f>
        <v>Searching</v>
      </c>
      <c r="D83" s="91" t="str">
        <f>'Active and Pre-IPO SPACs'!D84</f>
        <v/>
      </c>
      <c r="E83" s="96" t="str">
        <f>'Active and Pre-IPO SPACs'!E84</f>
        <v>[In talks (unconfirmed) with Shutterfly: Per WSJ 3/4/21]</v>
      </c>
      <c r="F83" s="97" t="str">
        <f>'Active and Pre-IPO SPACs'!F84</f>
        <v>Tom Wasserman (Managing Director, HPS Investment Partners; Director, Trine Acquisition), Roma Khanna (Former President, MGM Studios Television Group and Digital)</v>
      </c>
      <c r="G83" s="98">
        <f>'Active and Pre-IPO SPACs'!P84</f>
        <v>44231</v>
      </c>
      <c r="H83" s="99">
        <f>'Active and Pre-IPO SPACs'!Q84</f>
        <v>345</v>
      </c>
      <c r="I83" s="100" t="str">
        <f>'Active and Pre-IPO SPACs'!M84</f>
        <v>U: [1/4 W]; W: [1:1, $11.5]</v>
      </c>
    </row>
    <row r="84">
      <c r="A84" s="78" t="str">
        <f>'Active and Pre-IPO SPACs'!A85</f>
        <v>ATSP</v>
      </c>
      <c r="B84" s="95" t="str">
        <f>'Active and Pre-IPO SPACs'!B85</f>
        <v>Archimedes Tech Spac Partners Co</v>
      </c>
      <c r="C84" s="95" t="str">
        <f>'Active and Pre-IPO SPACs'!C85</f>
        <v>Searching (Pre Unit Split)</v>
      </c>
      <c r="D84" s="101" t="str">
        <f>'Active and Pre-IPO SPACs'!D85</f>
        <v>Tech (artificial intelligence, cloud services and automotive tech)</v>
      </c>
      <c r="E84" s="96" t="str">
        <f>'Active and Pre-IPO SPACs'!E85</f>
        <v/>
      </c>
      <c r="F84" s="97" t="str">
        <f>'Active and Pre-IPO SPACs'!F85</f>
        <v>Dr. Luc Julia (CTO, Samsung Electronics), Brent Callinicos (Fmr COO &amp; CFO, Virgin Hyperloop One)</v>
      </c>
      <c r="G84" s="98">
        <f>'Active and Pre-IPO SPACs'!P85</f>
        <v>44265</v>
      </c>
      <c r="H84" s="99">
        <f>'Active and Pre-IPO SPACs'!Q85</f>
        <v>120.5</v>
      </c>
      <c r="I84" s="100" t="str">
        <f>'Active and Pre-IPO SPACs'!M85</f>
        <v>U: [1 SU (1 C, 1/4 W), 1/4 W]; W: [1:1, $11.5]</v>
      </c>
    </row>
    <row r="85">
      <c r="A85" s="78" t="str">
        <f>'Active and Pre-IPO SPACs'!A86</f>
        <v>ATVC</v>
      </c>
      <c r="B85" s="95" t="str">
        <f>'Active and Pre-IPO SPACs'!B86</f>
        <v>Tribe Capital Growth Corp I</v>
      </c>
      <c r="C85" s="95" t="str">
        <f>'Active and Pre-IPO SPACs'!C86</f>
        <v>Searching (Pre Unit Split)</v>
      </c>
      <c r="D85" s="91" t="str">
        <f>'Active and Pre-IPO SPACs'!D86</f>
        <v>Tech</v>
      </c>
      <c r="E85" s="96" t="str">
        <f>'Active and Pre-IPO SPACs'!E86</f>
        <v/>
      </c>
      <c r="F85" s="97" t="str">
        <f>'Active and Pre-IPO SPACs'!F86</f>
        <v>Arjun Sethi (Co-founder, Tribe Capital; Fmr Partner, Social Capital), Richard Peretz (Fmr CFO, UPS), Henry Ward (CEO, Carta), Anthony “Pomp” Pompliano (Director of BlockFi), Kat Cole (COO of Focus Brands)</v>
      </c>
      <c r="G85" s="98">
        <f>'Active and Pre-IPO SPACs'!P86</f>
        <v>44259</v>
      </c>
      <c r="H85" s="99">
        <f>'Active and Pre-IPO SPACs'!Q86</f>
        <v>276</v>
      </c>
      <c r="I85" s="100" t="str">
        <f>'Active and Pre-IPO SPACs'!M86</f>
        <v>U: [1/4 W]; W: [1:1, $11.5]</v>
      </c>
    </row>
    <row r="86">
      <c r="A86" s="78" t="str">
        <f>'Active and Pre-IPO SPACs'!A87</f>
        <v>ATWO</v>
      </c>
      <c r="B86" s="95" t="str">
        <f>'Active and Pre-IPO SPACs'!B87</f>
        <v>Acies Acquisition Corp. II</v>
      </c>
      <c r="C86" s="95" t="str">
        <f>'Active and Pre-IPO SPACs'!C87</f>
        <v>Pre IPO</v>
      </c>
      <c r="D86" s="91" t="str">
        <f>'Active and Pre-IPO SPACs'!D87</f>
        <v>Live, location-based, and mobile experiential entertainment</v>
      </c>
      <c r="E86" s="96" t="str">
        <f>'Active and Pre-IPO SPACs'!E87</f>
        <v/>
      </c>
      <c r="F86" s="97" t="str">
        <f>'Active and Pre-IPO SPACs'!F87</f>
        <v>James Murren (Former CEO of MGM Resorts International and Co-chair of Cirque du Soleil), Sam Kennedy (CEO of the Boston Red Rox), Curtis Polk (Managing Partner of Hornets Sports &amp; Entertainment and the manager of Michael Jordan’s financial and business affairs)</v>
      </c>
      <c r="G86" s="98" t="str">
        <f>'Active and Pre-IPO SPACs'!P87</f>
        <v/>
      </c>
      <c r="H86" s="99">
        <f>'Active and Pre-IPO SPACs'!Q87</f>
        <v>250</v>
      </c>
      <c r="I86" s="100" t="str">
        <f>'Active and Pre-IPO SPACs'!M87</f>
        <v>U: [1/4 W]; W: [1:1, $11.5]</v>
      </c>
    </row>
    <row r="87">
      <c r="A87" s="78" t="str">
        <f>'Active and Pre-IPO SPACs'!A88</f>
        <v>AURC</v>
      </c>
      <c r="B87" s="95" t="str">
        <f>'Active and Pre-IPO SPACs'!B88</f>
        <v>Aurora Acquisition Corp.</v>
      </c>
      <c r="C87" s="95" t="str">
        <f>'Active and Pre-IPO SPACs'!C88</f>
        <v>Searching (Pre Unit Split)</v>
      </c>
      <c r="D87" s="101" t="str">
        <f>'Active and Pre-IPO SPACs'!D88</f>
        <v>Technology, Media (Europe, Middle East, &amp; Africa)</v>
      </c>
      <c r="E87" s="96" t="str">
        <f>'Active and Pre-IPO SPACs'!E88</f>
        <v/>
      </c>
      <c r="F87" s="97" t="str">
        <f>'Active and Pre-IPO SPACs'!F88</f>
        <v>Thor Björgólfsson (Chairman, Novator)</v>
      </c>
      <c r="G87" s="98">
        <f>'Active and Pre-IPO SPACs'!P88</f>
        <v>44258</v>
      </c>
      <c r="H87" s="99">
        <f>'Active and Pre-IPO SPACs'!Q88</f>
        <v>257</v>
      </c>
      <c r="I87" s="100" t="str">
        <f>'Active and Pre-IPO SPACs'!M88</f>
        <v>U: [1/4 W]; W: [1:1, $11.5]</v>
      </c>
    </row>
    <row r="88">
      <c r="A88" s="78" t="str">
        <f>'Active and Pre-IPO SPACs'!A89</f>
        <v>AURV</v>
      </c>
      <c r="B88" s="95" t="str">
        <f>'Active and Pre-IPO SPACs'!B89</f>
        <v>Aurvandil Acquisition Corp.</v>
      </c>
      <c r="C88" s="95" t="str">
        <f>'Active and Pre-IPO SPACs'!C89</f>
        <v>Pre IPO</v>
      </c>
      <c r="D88" s="101" t="str">
        <f>'Active and Pre-IPO SPACs'!D89</f>
        <v>Space ecosystem</v>
      </c>
      <c r="E88" s="96" t="str">
        <f>'Active and Pre-IPO SPACs'!E89</f>
        <v/>
      </c>
      <c r="F88" s="97" t="str">
        <f>'Active and Pre-IPO SPACs'!F89</f>
        <v>Vyomesh Joshi (Former CEO of 3D Systems Corp., and Former Director of Yahoo, Wipro, and Harris Corp), Scott Parazynski (Hall of Fame Astronaut)</v>
      </c>
      <c r="G88" s="98" t="str">
        <f>'Active and Pre-IPO SPACs'!P89</f>
        <v/>
      </c>
      <c r="H88" s="99">
        <f>'Active and Pre-IPO SPACs'!Q89</f>
        <v>250</v>
      </c>
      <c r="I88" s="100" t="str">
        <f>'Active and Pre-IPO SPACs'!M89</f>
        <v>U: [1/2 W]; W: [1:1, $11.5]</v>
      </c>
    </row>
    <row r="89">
      <c r="A89" s="78" t="str">
        <f>'Active and Pre-IPO SPACs'!A90</f>
        <v>AUS</v>
      </c>
      <c r="B89" s="95" t="str">
        <f>'Active and Pre-IPO SPACs'!B90</f>
        <v>Austerlitz Acquisition Corp I</v>
      </c>
      <c r="C89" s="95" t="str">
        <f>'Active and Pre-IPO SPACs'!C90</f>
        <v>Searching (Pre Unit Split)</v>
      </c>
      <c r="D89" s="91" t="str">
        <f>'Active and Pre-IPO SPACs'!D90</f>
        <v>Fintech</v>
      </c>
      <c r="E89" s="96" t="str">
        <f>'Active and Pre-IPO SPACs'!E90</f>
        <v/>
      </c>
      <c r="F89" s="97" t="str">
        <f>'Active and Pre-IPO SPACs'!F90</f>
        <v>Bill Foley (Founder/Chairman of Fidelity National Financial, Chairman of Cannae Holdings, Owner of NHL Team: Vegas Golden Knights)</v>
      </c>
      <c r="G89" s="98">
        <f>'Active and Pre-IPO SPACs'!P90</f>
        <v>44252</v>
      </c>
      <c r="H89" s="99">
        <f>'Active and Pre-IPO SPACs'!Q90</f>
        <v>690</v>
      </c>
      <c r="I89" s="100" t="str">
        <f>'Active and Pre-IPO SPACs'!M90</f>
        <v>U: [1/4 W]; W: [1:1, $11.5]</v>
      </c>
    </row>
    <row r="90">
      <c r="A90" s="78" t="str">
        <f>'Active and Pre-IPO SPACs'!A91</f>
        <v>AVAC</v>
      </c>
      <c r="B90" s="95" t="str">
        <f>'Active and Pre-IPO SPACs'!B91</f>
        <v>Avalon Acquisition Inc.</v>
      </c>
      <c r="C90" s="95" t="str">
        <f>'Active and Pre-IPO SPACs'!C91</f>
        <v>Pre IPO</v>
      </c>
      <c r="D90" s="101" t="str">
        <f>'Active and Pre-IPO SPACs'!D91</f>
        <v>Financial Services, Fintech</v>
      </c>
      <c r="E90" s="96" t="str">
        <f>'Active and Pre-IPO SPACs'!E91</f>
        <v/>
      </c>
      <c r="F90" s="97" t="str">
        <f>'Active and Pre-IPO SPACs'!F91</f>
        <v/>
      </c>
      <c r="G90" s="98" t="str">
        <f>'Active and Pre-IPO SPACs'!P91</f>
        <v/>
      </c>
      <c r="H90" s="99">
        <f>'Active and Pre-IPO SPACs'!Q91</f>
        <v>200</v>
      </c>
      <c r="I90" s="100" t="str">
        <f>'Active and Pre-IPO SPACs'!M91</f>
        <v>U: [1/2 W]; W: [1:1, $11.5]</v>
      </c>
    </row>
    <row r="91">
      <c r="A91" s="78" t="str">
        <f>'Active and Pre-IPO SPACs'!A92</f>
        <v>AVAN</v>
      </c>
      <c r="B91" s="95" t="str">
        <f>'Active and Pre-IPO SPACs'!B92</f>
        <v>Avanti Acquisition Corp</v>
      </c>
      <c r="C91" s="95" t="str">
        <f>'Active and Pre-IPO SPACs'!C92</f>
        <v>Searching</v>
      </c>
      <c r="D91" s="91" t="str">
        <f>'Active and Pre-IPO SPACs'!D92</f>
        <v>Europe (with strong US nexus, int'l reach)</v>
      </c>
      <c r="E91" s="96" t="str">
        <f>'Active and Pre-IPO SPACs'!E92</f>
        <v/>
      </c>
      <c r="F91" s="97" t="str">
        <f>'Active and Pre-IPO SPACs'!F92</f>
        <v/>
      </c>
      <c r="G91" s="98">
        <f>'Active and Pre-IPO SPACs'!P92</f>
        <v>44105</v>
      </c>
      <c r="H91" s="99">
        <f>'Active and Pre-IPO SPACs'!Q92</f>
        <v>600</v>
      </c>
      <c r="I91" s="100" t="str">
        <f>'Active and Pre-IPO SPACs'!M92</f>
        <v>U: [1/2 W]; W: [1:1, $11.5]</v>
      </c>
    </row>
    <row r="92">
      <c r="A92" s="78" t="str">
        <f>'Active and Pre-IPO SPACs'!A93</f>
        <v>AVEA</v>
      </c>
      <c r="B92" s="95" t="str">
        <f>'Active and Pre-IPO SPACs'!B93</f>
        <v>Avanea Energy Acquisition Corp.</v>
      </c>
      <c r="C92" s="95" t="str">
        <f>'Active and Pre-IPO SPACs'!C93</f>
        <v>Pre IPO</v>
      </c>
      <c r="D92" s="101" t="str">
        <f>'Active and Pre-IPO SPACs'!D93</f>
        <v>Energy Tech in Europe and North America</v>
      </c>
      <c r="E92" s="96" t="str">
        <f>'Active and Pre-IPO SPACs'!E93</f>
        <v/>
      </c>
      <c r="F92" s="97" t="str">
        <f>'Active and Pre-IPO SPACs'!F93</f>
        <v>Faysal Sohail (Managing Director at Presidio Partners Management LLC, co-founder of Silicon Architects, executive chairman of the board of InoBat Auto), Andrew Palmer (Former CEO of Aston Martin Lagonda, Founder &amp; Former CEO of Palmer Automotive, and Former Chairman of Infiniti), Tom Baruch (Founding Partner of Formation 8 Partners, Founding Partner of CMEA Capital, and Senior Advisor to Breakthrough Energy Ventures)</v>
      </c>
      <c r="G92" s="98" t="str">
        <f>'Active and Pre-IPO SPACs'!P93</f>
        <v/>
      </c>
      <c r="H92" s="99">
        <f>'Active and Pre-IPO SPACs'!Q93</f>
        <v>200</v>
      </c>
      <c r="I92" s="100" t="str">
        <f>'Active and Pre-IPO SPACs'!M93</f>
        <v>U: [1/3 W]; W: [1:1, $11.5]</v>
      </c>
    </row>
    <row r="93">
      <c r="A93" s="78" t="str">
        <f>'Active and Pre-IPO SPACs'!A94</f>
        <v>BCAC</v>
      </c>
      <c r="B93" s="95" t="str">
        <f>'Active and Pre-IPO SPACs'!B94</f>
        <v>Brookline Capital Acquisition Corp.</v>
      </c>
      <c r="C93" s="95" t="str">
        <f>'Active and Pre-IPO SPACs'!C94</f>
        <v>Searching</v>
      </c>
      <c r="D93" s="91" t="str">
        <f>'Active and Pre-IPO SPACs'!D94</f>
        <v>Life Sciences, Healthcare</v>
      </c>
      <c r="E93" s="96" t="str">
        <f>'Active and Pre-IPO SPACs'!E94</f>
        <v/>
      </c>
      <c r="F93" s="97" t="str">
        <f>'Active and Pre-IPO SPACs'!F94</f>
        <v/>
      </c>
      <c r="G93" s="98">
        <f>'Active and Pre-IPO SPACs'!P94</f>
        <v>44224</v>
      </c>
      <c r="H93" s="99">
        <f>'Active and Pre-IPO SPACs'!Q94</f>
        <v>58.075</v>
      </c>
      <c r="I93" s="100" t="str">
        <f>'Active and Pre-IPO SPACs'!M94</f>
        <v>U: [1/2 W]; W: [1:1, $11.5]</v>
      </c>
    </row>
    <row r="94">
      <c r="A94" s="78" t="str">
        <f>'Active and Pre-IPO SPACs'!A95</f>
        <v>BCIC</v>
      </c>
      <c r="B94" s="95" t="str">
        <f>'Active and Pre-IPO SPACs'!B95</f>
        <v>BCC Investment Corp.</v>
      </c>
      <c r="C94" s="95" t="str">
        <f>'Active and Pre-IPO SPACs'!C95</f>
        <v>Pre IPO</v>
      </c>
      <c r="D94" s="91" t="str">
        <f>'Active and Pre-IPO SPACs'!D95</f>
        <v/>
      </c>
      <c r="E94" s="96" t="str">
        <f>'Active and Pre-IPO SPACs'!E95</f>
        <v/>
      </c>
      <c r="F94" s="97" t="str">
        <f>'Active and Pre-IPO SPACs'!F95</f>
        <v>Bain Capital Credit</v>
      </c>
      <c r="G94" s="98" t="str">
        <f>'Active and Pre-IPO SPACs'!P95</f>
        <v/>
      </c>
      <c r="H94" s="99">
        <f>'Active and Pre-IPO SPACs'!Q95</f>
        <v>300</v>
      </c>
      <c r="I94" s="100" t="str">
        <f>'Active and Pre-IPO SPACs'!M95</f>
        <v>U: [1/4 W]; W: [1:1, $11.5]</v>
      </c>
    </row>
    <row r="95">
      <c r="A95" s="78" t="str">
        <f>'Active and Pre-IPO SPACs'!A96</f>
        <v>BCTA</v>
      </c>
      <c r="B95" s="95" t="str">
        <f>'Active and Pre-IPO SPACs'!B96</f>
        <v>B Capital Technology Opportunities Corp.</v>
      </c>
      <c r="C95" s="95" t="str">
        <f>'Active and Pre-IPO SPACs'!C96</f>
        <v>Pre IPO</v>
      </c>
      <c r="D95" s="101" t="str">
        <f>'Active and Pre-IPO SPACs'!D96</f>
        <v>Tech</v>
      </c>
      <c r="E95" s="96" t="str">
        <f>'Active and Pre-IPO SPACs'!E96</f>
        <v/>
      </c>
      <c r="F95" s="97" t="str">
        <f>'Active and Pre-IPO SPACs'!F96</f>
        <v>Eduardo Saverin (Co-founder, Facebook; Co-founder/Co-Managing GP, B Capital Group), Bruce Aust (Fmr Vice Chairman, Nasdaq)</v>
      </c>
      <c r="G95" s="98" t="str">
        <f>'Active and Pre-IPO SPACs'!P96</f>
        <v/>
      </c>
      <c r="H95" s="99">
        <f>'Active and Pre-IPO SPACs'!Q96</f>
        <v>300</v>
      </c>
      <c r="I95" s="100" t="str">
        <f>'Active and Pre-IPO SPACs'!M96</f>
        <v>U: [1/3 W]; W: [1:1, $11.5]</v>
      </c>
    </row>
    <row r="96">
      <c r="A96" s="78" t="str">
        <f>'Active and Pre-IPO SPACs'!A97</f>
        <v>BCTG</v>
      </c>
      <c r="B96" s="95" t="str">
        <f>'Active and Pre-IPO SPACs'!B97</f>
        <v>BCTG Acquisition Corp</v>
      </c>
      <c r="C96" s="95" t="str">
        <f>'Active and Pre-IPO SPACs'!C97</f>
        <v>Searching</v>
      </c>
      <c r="D96" s="91" t="str">
        <f>'Active and Pre-IPO SPACs'!D97</f>
        <v>Biotech</v>
      </c>
      <c r="E96" s="96" t="str">
        <f>'Active and Pre-IPO SPACs'!E97</f>
        <v/>
      </c>
      <c r="F96" s="97" t="str">
        <f>'Active and Pre-IPO SPACs'!F97</f>
        <v/>
      </c>
      <c r="G96" s="98">
        <f>'Active and Pre-IPO SPACs'!P97</f>
        <v>44077</v>
      </c>
      <c r="H96" s="99">
        <f>'Active and Pre-IPO SPACs'!Q97</f>
        <v>166.75</v>
      </c>
      <c r="I96" s="100" t="str">
        <f>'Active and Pre-IPO SPACs'!M97</f>
        <v>U: [No units]; W: [No warrants]</v>
      </c>
    </row>
    <row r="97">
      <c r="A97" s="78" t="str">
        <f>'Active and Pre-IPO SPACs'!A98</f>
        <v>BCYP</v>
      </c>
      <c r="B97" s="95" t="str">
        <f>'Active and Pre-IPO SPACs'!B98</f>
        <v>Big Cypress Acquisition Corp.</v>
      </c>
      <c r="C97" s="95" t="str">
        <f>'Active and Pre-IPO SPACs'!C98</f>
        <v>Searching</v>
      </c>
      <c r="D97" s="91" t="str">
        <f>'Active and Pre-IPO SPACs'!D98</f>
        <v>Life Sciences, Healthcare</v>
      </c>
      <c r="E97" s="96" t="str">
        <f>'Active and Pre-IPO SPACs'!E98</f>
        <v/>
      </c>
      <c r="F97" s="97" t="str">
        <f>'Active and Pre-IPO SPACs'!F98</f>
        <v/>
      </c>
      <c r="G97" s="98">
        <f>'Active and Pre-IPO SPACs'!P98</f>
        <v>44207</v>
      </c>
      <c r="H97" s="99">
        <f>'Active and Pre-IPO SPACs'!Q98</f>
        <v>115</v>
      </c>
      <c r="I97" s="100" t="str">
        <f>'Active and Pre-IPO SPACs'!M98</f>
        <v>U: [1/2 W]; W: [1:1, $11.5]</v>
      </c>
    </row>
    <row r="98">
      <c r="A98" s="78" t="str">
        <f>'Active and Pre-IPO SPACs'!A99</f>
        <v>BENE</v>
      </c>
      <c r="B98" s="95" t="str">
        <f>'Active and Pre-IPO SPACs'!B99</f>
        <v>Benessere Capital Acquisition Corp.</v>
      </c>
      <c r="C98" s="95" t="str">
        <f>'Active and Pre-IPO SPACs'!C99</f>
        <v>Searching</v>
      </c>
      <c r="D98" s="91" t="str">
        <f>'Active and Pre-IPO SPACs'!D99</f>
        <v>Tech, North/South America</v>
      </c>
      <c r="E98" s="96" t="str">
        <f>'Active and Pre-IPO SPACs'!E99</f>
        <v/>
      </c>
      <c r="F98" s="97" t="str">
        <f>'Active and Pre-IPO SPACs'!F99</f>
        <v/>
      </c>
      <c r="G98" s="98">
        <f>'Active and Pre-IPO SPACs'!P99</f>
        <v>44200</v>
      </c>
      <c r="H98" s="99">
        <f>'Active and Pre-IPO SPACs'!Q99</f>
        <v>101.5</v>
      </c>
      <c r="I98" s="100" t="str">
        <f>'Active and Pre-IPO SPACs'!M99</f>
        <v>U: [3/4 W, 1 R (1/10 sh)]; W: [1:1, $11.5]</v>
      </c>
    </row>
    <row r="99">
      <c r="A99" s="78" t="str">
        <f>'Active and Pre-IPO SPACs'!A100</f>
        <v>BGSX</v>
      </c>
      <c r="B99" s="95" t="str">
        <f>'Active and Pre-IPO SPACs'!B100</f>
        <v>Build Acquisition Corp.</v>
      </c>
      <c r="C99" s="95" t="str">
        <f>'Active and Pre-IPO SPACs'!C100</f>
        <v>Searching (Pre Unit Split)</v>
      </c>
      <c r="D99" s="91" t="str">
        <f>'Active and Pre-IPO SPACs'!D100</f>
        <v>SaaS, Infrastructure Software, Fintech</v>
      </c>
      <c r="E99" s="96" t="str">
        <f>'Active and Pre-IPO SPACs'!E100</f>
        <v/>
      </c>
      <c r="F99" s="97" t="str">
        <f>'Active and Pre-IPO SPACs'!F100</f>
        <v>Lanham Napier (Fmr CEO, Rackspace), Owen Van Natta (Fmr COO, Facebook; Former CEO, MySpace; Former Director, Zynga)</v>
      </c>
      <c r="G99" s="98">
        <f>'Active and Pre-IPO SPACs'!P100</f>
        <v>44271</v>
      </c>
      <c r="H99" s="99">
        <f>'Active and Pre-IPO SPACs'!Q100</f>
        <v>200</v>
      </c>
      <c r="I99" s="100" t="str">
        <f>'Active and Pre-IPO SPACs'!M100</f>
        <v>U: [1/3 W]; W: [1:1, $11.5]</v>
      </c>
    </row>
    <row r="100">
      <c r="A100" s="78" t="str">
        <f>'Active and Pre-IPO SPACs'!A101</f>
        <v>BHMC</v>
      </c>
      <c r="B100" s="95" t="str">
        <f>'Active and Pre-IPO SPACs'!B101</f>
        <v>Blueprint Health Merger Corp.</v>
      </c>
      <c r="C100" s="95" t="str">
        <f>'Active and Pre-IPO SPACs'!C101</f>
        <v>Pre IPO</v>
      </c>
      <c r="D100" s="101" t="str">
        <f>'Active and Pre-IPO SPACs'!D101</f>
        <v>Digital Health</v>
      </c>
      <c r="E100" s="96" t="str">
        <f>'Active and Pre-IPO SPACs'!E101</f>
        <v/>
      </c>
      <c r="F100" s="97" t="str">
        <f>'Active and Pre-IPO SPACs'!F101</f>
        <v>Dr. Rajiv Kumar (Chief Medical Officer of Virgin Pulse), Neil Parikh (Co-founder &amp; Director of Casper Sleep), Richard Harrington (Former CEO of Thomson Reuters, Former Director of Aetna &amp; Xerox)</v>
      </c>
      <c r="G100" s="98" t="str">
        <f>'Active and Pre-IPO SPACs'!P101</f>
        <v/>
      </c>
      <c r="H100" s="99">
        <f>'Active and Pre-IPO SPACs'!Q101</f>
        <v>200</v>
      </c>
      <c r="I100" s="100" t="str">
        <f>'Active and Pre-IPO SPACs'!M101</f>
        <v>U: [1/3 W]; W: [1:1, $11.5]</v>
      </c>
    </row>
    <row r="101">
      <c r="A101" s="78" t="str">
        <f>'Active and Pre-IPO SPACs'!A102</f>
        <v>BHSE</v>
      </c>
      <c r="B101" s="95" t="str">
        <f>'Active and Pre-IPO SPACs'!B102</f>
        <v>Bull Horn Holdings Corp.</v>
      </c>
      <c r="C101" s="95" t="str">
        <f>'Active and Pre-IPO SPACs'!C102</f>
        <v>Searching</v>
      </c>
      <c r="D101" s="91" t="str">
        <f>'Active and Pre-IPO SPACs'!D102</f>
        <v>Sports franchises, and sports tech, entertainment and brands</v>
      </c>
      <c r="E101" s="96" t="str">
        <f>'Active and Pre-IPO SPACs'!E102</f>
        <v/>
      </c>
      <c r="F101" s="97" t="str">
        <f>'Active and Pre-IPO SPACs'!F102</f>
        <v>Baron Davis (Former NBA Player)</v>
      </c>
      <c r="G101" s="98">
        <f>'Active and Pre-IPO SPACs'!P102</f>
        <v>44133</v>
      </c>
      <c r="H101" s="99">
        <f>'Active and Pre-IPO SPACs'!Q102</f>
        <v>75.75</v>
      </c>
      <c r="I101" s="100" t="str">
        <f>'Active and Pre-IPO SPACs'!M102</f>
        <v>U: [1 W]; W: [2:1, $11.5]</v>
      </c>
    </row>
    <row r="102">
      <c r="A102" s="78" t="str">
        <f>'Active and Pre-IPO SPACs'!A103</f>
        <v>BIOT</v>
      </c>
      <c r="B102" s="95" t="str">
        <f>'Active and Pre-IPO SPACs'!B103</f>
        <v>Biotech Acquisition Company</v>
      </c>
      <c r="C102" s="95" t="str">
        <f>'Active and Pre-IPO SPACs'!C103</f>
        <v>Searching</v>
      </c>
      <c r="D102" s="91" t="str">
        <f>'Active and Pre-IPO SPACs'!D103</f>
        <v>Healthcare, Life Sciences/ Biotech, Healthcare IT, MedTech</v>
      </c>
      <c r="E102" s="96" t="str">
        <f>'Active and Pre-IPO SPACs'!E103</f>
        <v/>
      </c>
      <c r="F102" s="97" t="str">
        <f>'Active and Pre-IPO SPACs'!F103</f>
        <v>Dr. Michael Shleifer (Co-founder/MP, SPRIM), Tanguy Serra (Co-founder, Vivint Solar; Fmr COO, SolarCity)</v>
      </c>
      <c r="G102" s="98">
        <f>'Active and Pre-IPO SPACs'!P103</f>
        <v>44221</v>
      </c>
      <c r="H102" s="99">
        <f>'Active and Pre-IPO SPACs'!Q103</f>
        <v>230</v>
      </c>
      <c r="I102" s="100" t="str">
        <f>'Active and Pre-IPO SPACs'!M103</f>
        <v>U: [1/2 W]; W: [1:1, $11.5]</v>
      </c>
    </row>
    <row r="103">
      <c r="A103" s="78" t="str">
        <f>'Active and Pre-IPO SPACs'!A104</f>
        <v>BITE</v>
      </c>
      <c r="B103" s="95" t="str">
        <f>'Active and Pre-IPO SPACs'!B104</f>
        <v>Bite Acquisition Corp</v>
      </c>
      <c r="C103" s="95" t="str">
        <f>'Active and Pre-IPO SPACs'!C104</f>
        <v>Searching</v>
      </c>
      <c r="D103" s="91" t="str">
        <f>'Active and Pre-IPO SPACs'!D104</f>
        <v>Restaurant, North America</v>
      </c>
      <c r="E103" s="96" t="str">
        <f>'Active and Pre-IPO SPACs'!E104</f>
        <v/>
      </c>
      <c r="F103" s="97" t="str">
        <f>'Active and Pre-IPO SPACs'!F104</f>
        <v>Julia Stewart (Fmr CEO, IHOP; Fmr CEO, Dine Brands Global)</v>
      </c>
      <c r="G103" s="98">
        <f>'Active and Pre-IPO SPACs'!P104</f>
        <v>44239</v>
      </c>
      <c r="H103" s="99">
        <f>'Active and Pre-IPO SPACs'!Q104</f>
        <v>200</v>
      </c>
      <c r="I103" s="100" t="str">
        <f>'Active and Pre-IPO SPACs'!M104</f>
        <v>U: [1/2 W]; W: [1:1, $11.5]</v>
      </c>
    </row>
    <row r="104">
      <c r="A104" s="78" t="str">
        <f>'Active and Pre-IPO SPACs'!A105</f>
        <v>BLNG</v>
      </c>
      <c r="B104" s="95" t="str">
        <f>'Active and Pre-IPO SPACs'!B105</f>
        <v>Belong Acquisition Corp.</v>
      </c>
      <c r="C104" s="95" t="str">
        <f>'Active and Pre-IPO SPACs'!C105</f>
        <v>Pre IPO</v>
      </c>
      <c r="D104" s="101" t="str">
        <f>'Active and Pre-IPO SPACs'!D105</f>
        <v>Tech (including e-commerce, software, and digital media)</v>
      </c>
      <c r="E104" s="96" t="str">
        <f>'Active and Pre-IPO SPACs'!E105</f>
        <v/>
      </c>
      <c r="F104" s="97" t="str">
        <f>'Active and Pre-IPO SPACs'!F105</f>
        <v>Jennifer Deason (Former CFO of the Weather Channel), George Arison (Chairman &amp; Co-CEO of Shift Technologies), Jason Park (CFO of DraftKings), Dhani Jones (TV host, Former NFL player)</v>
      </c>
      <c r="G104" s="98" t="str">
        <f>'Active and Pre-IPO SPACs'!P105</f>
        <v/>
      </c>
      <c r="H104" s="99">
        <f>'Active and Pre-IPO SPACs'!Q105</f>
        <v>150</v>
      </c>
      <c r="I104" s="100" t="str">
        <f>'Active and Pre-IPO SPACs'!M105</f>
        <v>U: [1/3 W]; W: [1:1, $11.5]</v>
      </c>
    </row>
    <row r="105">
      <c r="A105" s="78" t="str">
        <f>'Active and Pre-IPO SPACs'!A106</f>
        <v>BLSA</v>
      </c>
      <c r="B105" s="95" t="str">
        <f>'Active and Pre-IPO SPACs'!B106</f>
        <v>BCLS Acquisition Corp.</v>
      </c>
      <c r="C105" s="95" t="str">
        <f>'Active and Pre-IPO SPACs'!C106</f>
        <v>Searching</v>
      </c>
      <c r="D105" s="91" t="str">
        <f>'Active and Pre-IPO SPACs'!D106</f>
        <v>Healthcare, Biopharma</v>
      </c>
      <c r="E105" s="96" t="str">
        <f>'Active and Pre-IPO SPACs'!E106</f>
        <v/>
      </c>
      <c r="F105" s="97" t="str">
        <f>'Active and Pre-IPO SPACs'!F106</f>
        <v>Adam Koppel (Co-founder, Bain Capital Life Sciences), Jeffrey Shwartz (Co-founder, Bain Capital Life Sciences)</v>
      </c>
      <c r="G105" s="98">
        <f>'Active and Pre-IPO SPACs'!P106</f>
        <v>44125</v>
      </c>
      <c r="H105" s="99">
        <f>'Active and Pre-IPO SPACs'!Q106</f>
        <v>143.75</v>
      </c>
      <c r="I105" s="100" t="str">
        <f>'Active and Pre-IPO SPACs'!M106</f>
        <v>U: [No units]; W: [No warrants]</v>
      </c>
    </row>
    <row r="106">
      <c r="A106" s="78" t="str">
        <f>'Active and Pre-IPO SPACs'!A107</f>
        <v>BLTS</v>
      </c>
      <c r="B106" s="95" t="str">
        <f>'Active and Pre-IPO SPACs'!B107</f>
        <v>Bright Lights Acquisition Corp.</v>
      </c>
      <c r="C106" s="95" t="str">
        <f>'Active and Pre-IPO SPACs'!C107</f>
        <v>Searching</v>
      </c>
      <c r="D106" s="91" t="str">
        <f>'Active and Pre-IPO SPACs'!D107</f>
        <v>Consumer Products, Media, Entertainment, Sports </v>
      </c>
      <c r="E106" s="96" t="str">
        <f>'Active and Pre-IPO SPACs'!E107</f>
        <v/>
      </c>
      <c r="F106" s="97" t="str">
        <f>'Active and Pre-IPO SPACs'!F107</f>
        <v>Allen Shapiro (Founder, Mosaic Media Group), Ciara Wilson (Singer), Peter Guber (Chairman/CEO, Mandalay Entertainment Group; Fmr CEO, Sony Pictures Entertainment), Mark Shapiro (Fmr Pres, Endeavor), Selena Kalvaria (CMO, Away)</v>
      </c>
      <c r="G106" s="98">
        <f>'Active and Pre-IPO SPACs'!P107</f>
        <v>44202</v>
      </c>
      <c r="H106" s="99">
        <f>'Active and Pre-IPO SPACs'!Q107</f>
        <v>230</v>
      </c>
      <c r="I106" s="100" t="str">
        <f>'Active and Pre-IPO SPACs'!M107</f>
        <v>U: [1/2 W]; W: [1:1, $11.5]</v>
      </c>
    </row>
    <row r="107">
      <c r="A107" s="78" t="str">
        <f>'Active and Pre-IPO SPACs'!A108</f>
        <v>BLUA</v>
      </c>
      <c r="B107" s="95" t="str">
        <f>'Active and Pre-IPO SPACs'!B108</f>
        <v>BlueRiver Acquisition Corp.</v>
      </c>
      <c r="C107" s="95" t="str">
        <f>'Active and Pre-IPO SPACs'!C108</f>
        <v>Searching</v>
      </c>
      <c r="D107" s="91" t="str">
        <f>'Active and Pre-IPO SPACs'!D108</f>
        <v>Tech, Media, Telecom, Entertainment</v>
      </c>
      <c r="E107" s="96" t="str">
        <f>'Active and Pre-IPO SPACs'!E108</f>
        <v/>
      </c>
      <c r="F107" s="97" t="str">
        <f>'Active and Pre-IPO SPACs'!F108</f>
        <v>Randall Mays (Fmr CEO, Clear Channel Entertainment; Fmr Chairman, Live Nation), Anne Farlow (Non-Exec Chairman, Pershing Square Holdings), Alok Sarna (Fmr CFO, SoftBank Group International), John Sununu (Fmr US Senator from NH)</v>
      </c>
      <c r="G107" s="98">
        <f>'Active and Pre-IPO SPACs'!P108</f>
        <v>44224</v>
      </c>
      <c r="H107" s="99">
        <f>'Active and Pre-IPO SPACs'!Q108</f>
        <v>250</v>
      </c>
      <c r="I107" s="100" t="str">
        <f>'Active and Pre-IPO SPACs'!M108</f>
        <v>U: [1/3 W]; W: [1:1, $11.5]</v>
      </c>
    </row>
    <row r="108">
      <c r="A108" s="78" t="str">
        <f>'Active and Pre-IPO SPACs'!A109</f>
        <v>BLUW</v>
      </c>
      <c r="B108" s="95" t="str">
        <f>'Active and Pre-IPO SPACs'!B109</f>
        <v>Blue Water Acquisition Corp.</v>
      </c>
      <c r="C108" s="95" t="str">
        <f>'Active and Pre-IPO SPACs'!C109</f>
        <v>Searching</v>
      </c>
      <c r="D108" s="91" t="str">
        <f>'Active and Pre-IPO SPACs'!D109</f>
        <v>Healthcare</v>
      </c>
      <c r="E108" s="96" t="str">
        <f>'Active and Pre-IPO SPACs'!E109</f>
        <v/>
      </c>
      <c r="F108" s="97" t="str">
        <f>'Active and Pre-IPO SPACs'!F109</f>
        <v/>
      </c>
      <c r="G108" s="98">
        <f>'Active and Pre-IPO SPACs'!P109</f>
        <v>44180</v>
      </c>
      <c r="H108" s="99">
        <f>'Active and Pre-IPO SPACs'!Q109</f>
        <v>50</v>
      </c>
      <c r="I108" s="100" t="str">
        <f>'Active and Pre-IPO SPACs'!M109</f>
        <v>U: [1 W]; W: [1:1, $11.5]</v>
      </c>
    </row>
    <row r="109">
      <c r="A109" s="78" t="str">
        <f>'Active and Pre-IPO SPACs'!A110</f>
        <v>BOAC</v>
      </c>
      <c r="B109" s="95" t="str">
        <f>'Active and Pre-IPO SPACs'!B110</f>
        <v>Bluescape Opportunities Acquisition Corp.</v>
      </c>
      <c r="C109" s="95" t="str">
        <f>'Active and Pre-IPO SPACs'!C110</f>
        <v>Searching</v>
      </c>
      <c r="D109" s="91" t="str">
        <f>'Active and Pre-IPO SPACs'!D110</f>
        <v>Energy, Industrials</v>
      </c>
      <c r="E109" s="96" t="str">
        <f>'Active and Pre-IPO SPACs'!E110</f>
        <v/>
      </c>
      <c r="F109" s="97" t="str">
        <f>'Active and Pre-IPO SPACs'!F110</f>
        <v>C. John Wilder (Former CEO, Shell Capital; Former CEO, TXU Corp), Duncan Palmer (CFO, Cushman &amp; Wakefield)</v>
      </c>
      <c r="G109" s="98">
        <f>'Active and Pre-IPO SPACs'!P110</f>
        <v>44131</v>
      </c>
      <c r="H109" s="99">
        <f>'Active and Pre-IPO SPACs'!Q110</f>
        <v>607.5</v>
      </c>
      <c r="I109" s="100" t="str">
        <f>'Active and Pre-IPO SPACs'!M110</f>
        <v>U: [1/2 W]; W: [1:1, $11.5]</v>
      </c>
    </row>
    <row r="110">
      <c r="A110" s="78" t="str">
        <f>'Active and Pre-IPO SPACs'!A111</f>
        <v>BOAS</v>
      </c>
      <c r="B110" s="95" t="str">
        <f>'Active and Pre-IPO SPACs'!B111</f>
        <v>BOA Acquisition Corp.</v>
      </c>
      <c r="C110" s="95" t="str">
        <f>'Active and Pre-IPO SPACs'!C111</f>
        <v>Searching</v>
      </c>
      <c r="D110" s="91" t="str">
        <f>'Active and Pre-IPO SPACs'!D111</f>
        <v>PropTech</v>
      </c>
      <c r="E110" s="96" t="str">
        <f>'Active and Pre-IPO SPACs'!E111</f>
        <v/>
      </c>
      <c r="F110" s="97" t="str">
        <f>'Active and Pre-IPO SPACs'!F111</f>
        <v>Scott Seligman (Chairman, The Seligman Group), Shane Battier (Former NBA player; VP of Analytics and Basketball Development, Miami Heat), David Glazer (CFO, Palantir)</v>
      </c>
      <c r="G110" s="98">
        <f>'Active and Pre-IPO SPACs'!P111</f>
        <v>44250</v>
      </c>
      <c r="H110" s="99">
        <f>'Active and Pre-IPO SPACs'!Q111</f>
        <v>230</v>
      </c>
      <c r="I110" s="100" t="str">
        <f>'Active and Pre-IPO SPACs'!M111</f>
        <v>U: [1/3 W]; W: [1:1, $11.5]</v>
      </c>
    </row>
    <row r="111">
      <c r="A111" s="78" t="str">
        <f>'Active and Pre-IPO SPACs'!A112</f>
        <v>BOWX</v>
      </c>
      <c r="B111" s="95" t="str">
        <f>'Active and Pre-IPO SPACs'!B112</f>
        <v>BowX Acquisition Corp.</v>
      </c>
      <c r="C111" s="95" t="str">
        <f>'Active and Pre-IPO SPACs'!C112</f>
        <v>Definitive Agreement</v>
      </c>
      <c r="D111" s="91" t="str">
        <f>'Active and Pre-IPO SPACs'!D112</f>
        <v>TMT (Tech, Media, Telecom)</v>
      </c>
      <c r="E111" s="96" t="str">
        <f>'Active and Pre-IPO SPACs'!E112</f>
        <v>WeWork [DA: 03/26/21]</v>
      </c>
      <c r="F111" s="97" t="str">
        <f>'Active and Pre-IPO SPACs'!F112</f>
        <v>Vivek Ranadive (Founder of TIBCO Software, Co-owner of Sacramento Kings)</v>
      </c>
      <c r="G111" s="98">
        <f>'Active and Pre-IPO SPACs'!P112</f>
        <v>44048</v>
      </c>
      <c r="H111" s="99">
        <f>'Active and Pre-IPO SPACs'!Q112</f>
        <v>483</v>
      </c>
      <c r="I111" s="100" t="str">
        <f>'Active and Pre-IPO SPACs'!M112</f>
        <v>U: [1/3 W]; W: [1:1, $11.5]</v>
      </c>
    </row>
    <row r="112">
      <c r="A112" s="78" t="str">
        <f>'Active and Pre-IPO SPACs'!A113</f>
        <v>BRD</v>
      </c>
      <c r="B112" s="95" t="str">
        <f>'Active and Pre-IPO SPACs'!B113</f>
        <v>Beard Energy Transition Acquisition Corp.</v>
      </c>
      <c r="C112" s="95" t="str">
        <f>'Active and Pre-IPO SPACs'!C113</f>
        <v>Pre IPO</v>
      </c>
      <c r="D112" s="91" t="str">
        <f>'Active and Pre-IPO SPACs'!D113</f>
        <v>Electric power grid opportunities with energy transition infrastructure</v>
      </c>
      <c r="E112" s="96" t="str">
        <f>'Active and Pre-IPO SPACs'!E113</f>
        <v/>
      </c>
      <c r="F112" s="97" t="str">
        <f>'Active and Pre-IPO SPACs'!F113</f>
        <v/>
      </c>
      <c r="G112" s="98" t="str">
        <f>'Active and Pre-IPO SPACs'!P113</f>
        <v/>
      </c>
      <c r="H112" s="99">
        <f>'Active and Pre-IPO SPACs'!Q113</f>
        <v>250</v>
      </c>
      <c r="I112" s="100" t="str">
        <f>'Active and Pre-IPO SPACs'!M113</f>
        <v>U: [1/3 W]; W: [1:1, $11.5]</v>
      </c>
    </row>
    <row r="113">
      <c r="A113" s="78" t="str">
        <f>'Active and Pre-IPO SPACs'!A114</f>
        <v>BREZ</v>
      </c>
      <c r="B113" s="95" t="str">
        <f>'Active and Pre-IPO SPACs'!B114</f>
        <v>Breeze Holdings Acquisition Corp.</v>
      </c>
      <c r="C113" s="95" t="str">
        <f>'Active and Pre-IPO SPACs'!C114</f>
        <v>Searching</v>
      </c>
      <c r="D113" s="91" t="str">
        <f>'Active and Pre-IPO SPACs'!D114</f>
        <v>Energy</v>
      </c>
      <c r="E113" s="96" t="str">
        <f>'Active and Pre-IPO SPACs'!E114</f>
        <v/>
      </c>
      <c r="F113" s="97" t="str">
        <f>'Active and Pre-IPO SPACs'!F114</f>
        <v>Dan Hunt (President, FC Dallas)</v>
      </c>
      <c r="G113" s="98">
        <f>'Active and Pre-IPO SPACs'!P114</f>
        <v>44158</v>
      </c>
      <c r="H113" s="99">
        <f>'Active and Pre-IPO SPACs'!Q114</f>
        <v>116.725</v>
      </c>
      <c r="I113" s="100" t="str">
        <f>'Active and Pre-IPO SPACs'!M114</f>
        <v>U: [1 W, 1 R (1/20 sh)]; W: [1:1, $11.5]</v>
      </c>
    </row>
    <row r="114">
      <c r="A114" s="78" t="str">
        <f>'Active and Pre-IPO SPACs'!A115</f>
        <v>BRIG</v>
      </c>
      <c r="B114" s="95" t="str">
        <f>'Active and Pre-IPO SPACs'!B115</f>
        <v>Brigantine Acquisition Corp.</v>
      </c>
      <c r="C114" s="95" t="str">
        <f>'Active and Pre-IPO SPACs'!C115</f>
        <v>Pre IPO</v>
      </c>
      <c r="D114" s="101" t="str">
        <f>'Active and Pre-IPO SPACs'!D115</f>
        <v>Tech</v>
      </c>
      <c r="E114" s="96" t="str">
        <f>'Active and Pre-IPO SPACs'!E115</f>
        <v/>
      </c>
      <c r="F114" s="97" t="str">
        <f>'Active and Pre-IPO SPACs'!F115</f>
        <v>James Greene, Jr. (Founding Partner of True Wind Capital), Scott Wagner (Former CEO of GoDaddy)</v>
      </c>
      <c r="G114" s="98" t="str">
        <f>'Active and Pre-IPO SPACs'!P115</f>
        <v/>
      </c>
      <c r="H114" s="99">
        <f>'Active and Pre-IPO SPACs'!Q115</f>
        <v>600</v>
      </c>
      <c r="I114" s="100" t="str">
        <f>'Active and Pre-IPO SPACs'!M115</f>
        <v>U: [1/5 W]; W: [1:1, $11.5]</v>
      </c>
    </row>
    <row r="115">
      <c r="A115" s="78" t="str">
        <f>'Active and Pre-IPO SPACs'!A116</f>
        <v>BRIM</v>
      </c>
      <c r="B115" s="95" t="str">
        <f>'Active and Pre-IPO SPACs'!B116</f>
        <v>Brimstone Acquisition Holdings Corp.</v>
      </c>
      <c r="C115" s="95" t="str">
        <f>'Active and Pre-IPO SPACs'!C116</f>
        <v>Pre IPO</v>
      </c>
      <c r="D115" s="91" t="str">
        <f>'Active and Pre-IPO SPACs'!D116</f>
        <v/>
      </c>
      <c r="E115" s="96" t="str">
        <f>'Active and Pre-IPO SPACs'!E116</f>
        <v/>
      </c>
      <c r="F115" s="97" t="str">
        <f>'Active and Pre-IPO SPACs'!F116</f>
        <v>Sir Martin Franklin (Founder, Former Chairman &amp; CEO of Jarden, Former Director of Newell Brands, Burger King Worldwide, and Restaurant Brands International), Michael Goss (Former CFO of Conde Nast and Sotheby’s), Domenico De Sole (Co-Founder of Tom Ford and Former CEO of Gucci Group)</v>
      </c>
      <c r="G115" s="98" t="str">
        <f>'Active and Pre-IPO SPACs'!P116</f>
        <v/>
      </c>
      <c r="H115" s="99">
        <f>'Active and Pre-IPO SPACs'!Q116</f>
        <v>250</v>
      </c>
      <c r="I115" s="100" t="str">
        <f>'Active and Pre-IPO SPACs'!M116</f>
        <v>U: [1/4 W]; W: [1:1, $11.5]</v>
      </c>
    </row>
    <row r="116">
      <c r="A116" s="78" t="str">
        <f>'Active and Pre-IPO SPACs'!A117</f>
        <v>BRIV</v>
      </c>
      <c r="B116" s="95" t="str">
        <f>'Active and Pre-IPO SPACs'!B117</f>
        <v>B. Riley Principal 250 Merger Corp.</v>
      </c>
      <c r="C116" s="95" t="str">
        <f>'Active and Pre-IPO SPACs'!C117</f>
        <v>Pre IPO</v>
      </c>
      <c r="D116" s="91" t="str">
        <f>'Active and Pre-IPO SPACs'!D117</f>
        <v/>
      </c>
      <c r="E116" s="96" t="str">
        <f>'Active and Pre-IPO SPACs'!E117</f>
        <v/>
      </c>
      <c r="F116" s="97" t="str">
        <f>'Active and Pre-IPO SPACs'!F117</f>
        <v>Bryant Riley (Chairman and Co-CEO of B. Riley Financial), Daniel Shribman (CIO of B. Riley Financial and Director of Eos Energy)</v>
      </c>
      <c r="G116" s="98" t="str">
        <f>'Active and Pre-IPO SPACs'!P117</f>
        <v/>
      </c>
      <c r="H116" s="99">
        <f>'Active and Pre-IPO SPACs'!Q117</f>
        <v>250</v>
      </c>
      <c r="I116" s="100" t="str">
        <f>'Active and Pre-IPO SPACs'!M117</f>
        <v>U: [1/3 W]; W: [1:1, $11.5]</v>
      </c>
    </row>
    <row r="117">
      <c r="A117" s="78" t="str">
        <f>'Active and Pre-IPO SPACs'!A118</f>
        <v>BRLI</v>
      </c>
      <c r="B117" s="95" t="str">
        <f>'Active and Pre-IPO SPACs'!B118</f>
        <v>Brilliant Acquisition</v>
      </c>
      <c r="C117" s="95" t="str">
        <f>'Active and Pre-IPO SPACs'!C118</f>
        <v>Searching</v>
      </c>
      <c r="D117" s="91" t="str">
        <f>'Active and Pre-IPO SPACs'!D118</f>
        <v>Asia-Pacific</v>
      </c>
      <c r="E117" s="96" t="str">
        <f>'Active and Pre-IPO SPACs'!E118</f>
        <v/>
      </c>
      <c r="F117" s="97" t="str">
        <f>'Active and Pre-IPO SPACs'!F118</f>
        <v/>
      </c>
      <c r="G117" s="98">
        <f>'Active and Pre-IPO SPACs'!P118</f>
        <v>44006</v>
      </c>
      <c r="H117" s="99">
        <f>'Active and Pre-IPO SPACs'!Q118</f>
        <v>46</v>
      </c>
      <c r="I117" s="100" t="str">
        <f>'Active and Pre-IPO SPACs'!M118</f>
        <v>U: [1 W, 1 R (1/10 sh)]; W: [1:1, $11.5]</v>
      </c>
    </row>
    <row r="118">
      <c r="A118" s="78" t="str">
        <f>'Active and Pre-IPO SPACs'!A119</f>
        <v>BRPA</v>
      </c>
      <c r="B118" s="95" t="str">
        <f>'Active and Pre-IPO SPACs'!B119</f>
        <v>Big Rock Partners Acquisition Corp</v>
      </c>
      <c r="C118" s="95" t="str">
        <f>'Active and Pre-IPO SPACs'!C119</f>
        <v>Definitive Agreement</v>
      </c>
      <c r="D118" s="91" t="str">
        <f>'Active and Pre-IPO SPACs'!D119</f>
        <v>Senior Housing</v>
      </c>
      <c r="E118" s="96" t="str">
        <f>'Active and Pre-IPO SPACs'!E119</f>
        <v>NeuroRX [DA: 12/14/20]</v>
      </c>
      <c r="F118" s="97" t="str">
        <f>'Active and Pre-IPO SPACs'!F119</f>
        <v/>
      </c>
      <c r="G118" s="98">
        <f>'Active and Pre-IPO SPACs'!P119</f>
        <v>43059</v>
      </c>
      <c r="H118" s="99">
        <f>'Active and Pre-IPO SPACs'!Q119</f>
        <v>60</v>
      </c>
      <c r="I118" s="100" t="str">
        <f>'Active and Pre-IPO SPACs'!M119</f>
        <v>U: [1/2 W]; W: [1:1, $11.5]</v>
      </c>
    </row>
    <row r="119">
      <c r="A119" s="78" t="str">
        <f>'Active and Pre-IPO SPACs'!A120</f>
        <v>BRPM</v>
      </c>
      <c r="B119" s="95" t="str">
        <f>'Active and Pre-IPO SPACs'!B120</f>
        <v>B. Riley Principal 150 Merger Corp.</v>
      </c>
      <c r="C119" s="95" t="str">
        <f>'Active and Pre-IPO SPACs'!C120</f>
        <v>Searching</v>
      </c>
      <c r="D119" s="91" t="str">
        <f>'Active and Pre-IPO SPACs'!D120</f>
        <v/>
      </c>
      <c r="E119" s="96" t="str">
        <f>'Active and Pre-IPO SPACs'!E120</f>
        <v/>
      </c>
      <c r="F119" s="97" t="str">
        <f>'Active and Pre-IPO SPACs'!F120</f>
        <v>Bryant Riley (Chairman/Co-CEO, B. Riley Financial), Daniel Shribman (CIO, B. Riley Financial; Director, Eos Energy)</v>
      </c>
      <c r="G119" s="98">
        <f>'Active and Pre-IPO SPACs'!P120</f>
        <v>44245</v>
      </c>
      <c r="H119" s="99">
        <f>'Active and Pre-IPO SPACs'!Q120</f>
        <v>172.5</v>
      </c>
      <c r="I119" s="100" t="str">
        <f>'Active and Pre-IPO SPACs'!M120</f>
        <v>U: [1/3 W]; W: [1:1, $11.5]</v>
      </c>
    </row>
    <row r="120">
      <c r="A120" s="78" t="str">
        <f>'Active and Pre-IPO SPACs'!A121</f>
        <v>BSKY</v>
      </c>
      <c r="B120" s="95" t="str">
        <f>'Active and Pre-IPO SPACs'!B121</f>
        <v>Big Sky Growth Partners, Inc.</v>
      </c>
      <c r="C120" s="95" t="str">
        <f>'Active and Pre-IPO SPACs'!C121</f>
        <v>Pre IPO</v>
      </c>
      <c r="D120" s="101" t="str">
        <f>'Active and Pre-IPO SPACs'!D121</f>
        <v>Internet Retail and Direct-to-Consumer</v>
      </c>
      <c r="E120" s="96" t="str">
        <f>'Active and Pre-IPO SPACs'!E121</f>
        <v/>
      </c>
      <c r="F120" s="97" t="str">
        <f>'Active and Pre-IPO SPACs'!F121</f>
        <v>Mark Vadon (Co-founder of Zulily, Former Chairman of Chewy), Joseph Zwillinger (Co-founder of Allbirds), Michael Smith (Director &amp; Former COO of Stitch Fix, Former COO of Walmart.com, Director of Ulta Beauty)</v>
      </c>
      <c r="G120" s="98" t="str">
        <f>'Active and Pre-IPO SPACs'!P121</f>
        <v/>
      </c>
      <c r="H120" s="99">
        <f>'Active and Pre-IPO SPACs'!Q121</f>
        <v>300</v>
      </c>
      <c r="I120" s="100" t="str">
        <f>'Active and Pre-IPO SPACs'!M121</f>
        <v>U: [1/4 W]; W: [1:1, $11.5]</v>
      </c>
    </row>
    <row r="121">
      <c r="A121" s="78" t="str">
        <f>'Active and Pre-IPO SPACs'!A122</f>
        <v>BSN</v>
      </c>
      <c r="B121" s="95" t="str">
        <f>'Active and Pre-IPO SPACs'!B122</f>
        <v>Broadstone Acquisition Corp.</v>
      </c>
      <c r="C121" s="95" t="str">
        <f>'Active and Pre-IPO SPACs'!C122</f>
        <v>Searching</v>
      </c>
      <c r="D121" s="91" t="str">
        <f>'Active and Pre-IPO SPACs'!D122</f>
        <v>Stressed, Europe, UK</v>
      </c>
      <c r="E121" s="96" t="str">
        <f>'Active and Pre-IPO SPACs'!E122</f>
        <v/>
      </c>
      <c r="F121" s="97" t="str">
        <f>'Active and Pre-IPO SPACs'!F122</f>
        <v/>
      </c>
      <c r="G121" s="98">
        <f>'Active and Pre-IPO SPACs'!P122</f>
        <v>44085</v>
      </c>
      <c r="H121" s="99">
        <f>'Active and Pre-IPO SPACs'!Q122</f>
        <v>305.30301</v>
      </c>
      <c r="I121" s="100" t="str">
        <f>'Active and Pre-IPO SPACs'!M122</f>
        <v>U: [1/2 W]; W: [1:1, $11.5]</v>
      </c>
    </row>
    <row r="122">
      <c r="A122" s="78" t="str">
        <f>'Active and Pre-IPO SPACs'!A123</f>
        <v>BTAQ</v>
      </c>
      <c r="B122" s="95" t="str">
        <f>'Active and Pre-IPO SPACs'!B123</f>
        <v>Burgundy Technology Acquisition Corp</v>
      </c>
      <c r="C122" s="95" t="str">
        <f>'Active and Pre-IPO SPACs'!C123</f>
        <v>Searching</v>
      </c>
      <c r="D122" s="91" t="str">
        <f>'Active and Pre-IPO SPACs'!D123</f>
        <v>Tech (Europe, Israel, US)</v>
      </c>
      <c r="E122" s="96" t="str">
        <f>'Active and Pre-IPO SPACs'!E123</f>
        <v/>
      </c>
      <c r="F122" s="97" t="str">
        <f>'Active and Pre-IPO SPACs'!F123</f>
        <v>Leo Apotheker (Former CEO of HP)</v>
      </c>
      <c r="G122" s="98">
        <f>'Active and Pre-IPO SPACs'!P123</f>
        <v>44069</v>
      </c>
      <c r="H122" s="99">
        <f>'Active and Pre-IPO SPACs'!Q123</f>
        <v>346.725</v>
      </c>
      <c r="I122" s="100" t="str">
        <f>'Active and Pre-IPO SPACs'!M123</f>
        <v>U: [1/2 W]; W: [1:1, $11.5]</v>
      </c>
    </row>
    <row r="123">
      <c r="A123" s="78" t="str">
        <f>'Active and Pre-IPO SPACs'!A124</f>
        <v>BTNB</v>
      </c>
      <c r="B123" s="95" t="str">
        <f>'Active and Pre-IPO SPACs'!B124</f>
        <v>Bridgetown 2 Holdings Limited</v>
      </c>
      <c r="C123" s="95" t="str">
        <f>'Active and Pre-IPO SPACs'!C124</f>
        <v>Searching</v>
      </c>
      <c r="D123" s="91" t="str">
        <f>'Active and Pre-IPO SPACs'!D124</f>
        <v>Tech, financial services, or media sectors in Southeast Asia</v>
      </c>
      <c r="E123" s="96" t="str">
        <f>'Active and Pre-IPO SPACs'!E124</f>
        <v/>
      </c>
      <c r="F123" s="97" t="str">
        <f>'Active and Pre-IPO SPACs'!F124</f>
        <v>Pacific Century, Thiel Capital, Sam Altman (CEO, OpenAI; Fmr President, Y Combinator; Director, Reddit), Matt Danzeisen (Head of Private Investments, Thiel Capital: Peter Thiel), John Hass (Partner, RRE Ventures), Kenneth Ng (Founder, Ark Pacific; CEO, MLAC SPAC)</v>
      </c>
      <c r="G123" s="98">
        <f>'Active and Pre-IPO SPACs'!P124</f>
        <v>44221</v>
      </c>
      <c r="H123" s="99">
        <f>'Active and Pre-IPO SPACs'!Q124</f>
        <v>299</v>
      </c>
      <c r="I123" s="100" t="str">
        <f>'Active and Pre-IPO SPACs'!M124</f>
        <v>U: [No units]; W: [No warrants]</v>
      </c>
    </row>
    <row r="124">
      <c r="A124" s="78" t="str">
        <f>'Active and Pre-IPO SPACs'!A125</f>
        <v>BTVC</v>
      </c>
      <c r="B124" s="95" t="str">
        <f>'Active and Pre-IPO SPACs'!B125</f>
        <v>Tribe Capital Growth Corp II</v>
      </c>
      <c r="C124" s="95" t="str">
        <f>'Active and Pre-IPO SPACs'!C125</f>
        <v>Pre IPO</v>
      </c>
      <c r="D124" s="91" t="str">
        <f>'Active and Pre-IPO SPACs'!D125</f>
        <v>Tech</v>
      </c>
      <c r="E124" s="96" t="str">
        <f>'Active and Pre-IPO SPACs'!E125</f>
        <v/>
      </c>
      <c r="F124" s="97" t="str">
        <f>'Active and Pre-IPO SPACs'!F125</f>
        <v>Arjun Sethi (Co-founder of Tribe Capital and Former Partner of Social Capital), Richard Peretz (Former CFO of UPS), Carol Foster (Former COO &amp; CFO of SharesPost), Odell Beckham Jr. (NFL Player), Henry Ward (CEO of Carta)</v>
      </c>
      <c r="G124" s="98" t="str">
        <f>'Active and Pre-IPO SPACs'!P125</f>
        <v/>
      </c>
      <c r="H124" s="99">
        <f>'Active and Pre-IPO SPACs'!Q125</f>
        <v>300</v>
      </c>
      <c r="I124" s="100" t="str">
        <f>'Active and Pre-IPO SPACs'!M125</f>
        <v>U: [1/4 W]; W: [1:1, $11.5]</v>
      </c>
    </row>
    <row r="125">
      <c r="A125" s="78" t="str">
        <f>'Active and Pre-IPO SPACs'!A126</f>
        <v>BTWN</v>
      </c>
      <c r="B125" s="95" t="str">
        <f>'Active and Pre-IPO SPACs'!B126</f>
        <v>Bridgetown Holdings Limited</v>
      </c>
      <c r="C125" s="95" t="str">
        <f>'Active and Pre-IPO SPACs'!C126</f>
        <v>Searching</v>
      </c>
      <c r="D125" s="91" t="str">
        <f>'Active and Pre-IPO SPACs'!D126</f>
        <v>Tech, financial services, or media sectors in Southeast Asia</v>
      </c>
      <c r="E125" s="96" t="str">
        <f>'Active and Pre-IPO SPACs'!E126</f>
        <v>[In talks (unconfirmed) with Traveloka: Per Bloomberg 04/09/21]</v>
      </c>
      <c r="F125" s="97" t="str">
        <f>'Active and Pre-IPO SPACs'!F126</f>
        <v>Pacific Century, Thiel Capital, Sam Altman (CEO, OpenAI; Fmr President, Y Combinator; Director, Reddit), Matt Danzeisen (Head of Private Investments, Thiel Capital: Peter Thiel), John Hass (Partner, RRE Ventures), Kenneth Ng (Founder, Ark Pacific; CEO, MLAC SPAC)</v>
      </c>
      <c r="G125" s="98">
        <f>'Active and Pre-IPO SPACs'!P126</f>
        <v>44120</v>
      </c>
      <c r="H125" s="99">
        <f>'Active and Pre-IPO SPACs'!Q126</f>
        <v>594.99351</v>
      </c>
      <c r="I125" s="100" t="str">
        <f>'Active and Pre-IPO SPACs'!M126</f>
        <v>U: [1/3 W]; W: [1:1, $11.5]</v>
      </c>
    </row>
    <row r="126">
      <c r="A126" s="78" t="str">
        <f>'Active and Pre-IPO SPACs'!A127</f>
        <v>BWAC</v>
      </c>
      <c r="B126" s="95" t="str">
        <f>'Active and Pre-IPO SPACs'!B127</f>
        <v>Better World Acquisition Corp.</v>
      </c>
      <c r="C126" s="95" t="str">
        <f>'Active and Pre-IPO SPACs'!C127</f>
        <v>Searching</v>
      </c>
      <c r="D126" s="91" t="str">
        <f>'Active and Pre-IPO SPACs'!D127</f>
        <v>Healthy Living / Strong ESG Profiles</v>
      </c>
      <c r="E126" s="96" t="str">
        <f>'Active and Pre-IPO SPACs'!E127</f>
        <v/>
      </c>
      <c r="F126" s="97" t="str">
        <f>'Active and Pre-IPO SPACs'!F127</f>
        <v>Rosemary Ripley (Director, Heineken)</v>
      </c>
      <c r="G126" s="98">
        <f>'Active and Pre-IPO SPACs'!P127</f>
        <v>44147</v>
      </c>
      <c r="H126" s="99">
        <f>'Active and Pre-IPO SPACs'!Q127</f>
        <v>127.44786</v>
      </c>
      <c r="I126" s="100" t="str">
        <f>'Active and Pre-IPO SPACs'!M127</f>
        <v>U: [1 W]; W: [1:1, $11.5]</v>
      </c>
    </row>
    <row r="127">
      <c r="A127" s="78" t="str">
        <f>'Active and Pre-IPO SPACs'!A128</f>
        <v>BYNO</v>
      </c>
      <c r="B127" s="95" t="str">
        <f>'Active and Pre-IPO SPACs'!B128</f>
        <v>byNordic Acquisition Corp</v>
      </c>
      <c r="C127" s="95" t="str">
        <f>'Active and Pre-IPO SPACs'!C128</f>
        <v>Pre IPO</v>
      </c>
      <c r="D127" s="91" t="str">
        <f>'Active and Pre-IPO SPACs'!D128</f>
        <v>Northern Europe, Fintech, Tech</v>
      </c>
      <c r="E127" s="96" t="str">
        <f>'Active and Pre-IPO SPACs'!E128</f>
        <v/>
      </c>
      <c r="F127" s="97" t="str">
        <f>'Active and Pre-IPO SPACs'!F128</f>
        <v>Jonas Olsson (Global controller, H&amp;M)</v>
      </c>
      <c r="G127" s="98" t="str">
        <f>'Active and Pre-IPO SPACs'!P128</f>
        <v/>
      </c>
      <c r="H127" s="99">
        <f>'Active and Pre-IPO SPACs'!Q128</f>
        <v>100</v>
      </c>
      <c r="I127" s="100" t="str">
        <f>'Active and Pre-IPO SPACs'!M128</f>
        <v>U: [3/4 W]; W: [1:1, $11.5]</v>
      </c>
    </row>
    <row r="128">
      <c r="A128" s="78" t="str">
        <f>'Active and Pre-IPO SPACs'!A129</f>
        <v>BYTS</v>
      </c>
      <c r="B128" s="95" t="str">
        <f>'Active and Pre-IPO SPACs'!B129</f>
        <v>BYTE Acquisition Corp.</v>
      </c>
      <c r="C128" s="95" t="str">
        <f>'Active and Pre-IPO SPACs'!C129</f>
        <v>Searching (Pre Unit Split)</v>
      </c>
      <c r="D128" s="101" t="str">
        <f>'Active and Pre-IPO SPACs'!D129</f>
        <v>Israeli Tech</v>
      </c>
      <c r="E128" s="96" t="str">
        <f>'Active and Pre-IPO SPACs'!E129</f>
        <v/>
      </c>
      <c r="F128" s="97" t="str">
        <f>'Active and Pre-IPO SPACs'!F129</f>
        <v/>
      </c>
      <c r="G128" s="98">
        <f>'Active and Pre-IPO SPACs'!P129</f>
        <v>44273</v>
      </c>
      <c r="H128" s="99">
        <f>'Active and Pre-IPO SPACs'!Q129</f>
        <v>323.7</v>
      </c>
      <c r="I128" s="100" t="str">
        <f>'Active and Pre-IPO SPACs'!M129</f>
        <v>U: [1/2 W]; W: [1:1, $11.5]</v>
      </c>
    </row>
    <row r="129">
      <c r="A129" s="78" t="str">
        <f>'Active and Pre-IPO SPACs'!A130</f>
        <v>CAHC</v>
      </c>
      <c r="B129" s="95" t="str">
        <f>'Active and Pre-IPO SPACs'!B130</f>
        <v>CA Healthcare Acquisition Corp.</v>
      </c>
      <c r="C129" s="95" t="str">
        <f>'Active and Pre-IPO SPACs'!C130</f>
        <v>Definitive Agreement</v>
      </c>
      <c r="D129" s="91" t="str">
        <f>'Active and Pre-IPO SPACs'!D130</f>
        <v>Healthcare Services, IT, care management, behavioral health, medical devices, diagnostics, pharma services, health and wellness, and specialty pharmacy</v>
      </c>
      <c r="E129" s="96" t="str">
        <f>'Active and Pre-IPO SPACs'!E130</f>
        <v>LumiraDx [DA: 04/07/21]</v>
      </c>
      <c r="F129" s="97" t="str">
        <f>'Active and Pre-IPO SPACs'!F130</f>
        <v/>
      </c>
      <c r="G129" s="98">
        <f>'Active and Pre-IPO SPACs'!P130</f>
        <v>44222</v>
      </c>
      <c r="H129" s="99">
        <f>'Active and Pre-IPO SPACs'!Q130</f>
        <v>115</v>
      </c>
      <c r="I129" s="100" t="str">
        <f>'Active and Pre-IPO SPACs'!M130</f>
        <v>U: [1/2 W]; W: [1:1, $11.5]</v>
      </c>
    </row>
    <row r="130">
      <c r="A130" s="78" t="str">
        <f>'Active and Pre-IPO SPACs'!A131</f>
        <v>CAIN</v>
      </c>
      <c r="B130" s="95" t="str">
        <f>'Active and Pre-IPO SPACs'!B131</f>
        <v>Cain Acquisition Corp</v>
      </c>
      <c r="C130" s="95" t="str">
        <f>'Active and Pre-IPO SPACs'!C131</f>
        <v>Pre IPO</v>
      </c>
      <c r="D130" s="101" t="str">
        <f>'Active and Pre-IPO SPACs'!D131</f>
        <v>Experiential Hospitality, Location-based Entertainment, and Real Estate</v>
      </c>
      <c r="E130" s="96" t="str">
        <f>'Active and Pre-IPO SPACs'!E131</f>
        <v/>
      </c>
      <c r="F130" s="97" t="str">
        <f>'Active and Pre-IPO SPACs'!F131</f>
        <v>Jonathan Goldstein (Founder &amp; CEO of Cain International)</v>
      </c>
      <c r="G130" s="98" t="str">
        <f>'Active and Pre-IPO SPACs'!P131</f>
        <v/>
      </c>
      <c r="H130" s="99">
        <f>'Active and Pre-IPO SPACs'!Q131</f>
        <v>250</v>
      </c>
      <c r="I130" s="100" t="str">
        <f>'Active and Pre-IPO SPACs'!M131</f>
        <v>U: [1/3 W]; W: [1:1, $11.5]</v>
      </c>
    </row>
    <row r="131">
      <c r="A131" s="78" t="str">
        <f>'Active and Pre-IPO SPACs'!A132</f>
        <v>CALQ</v>
      </c>
      <c r="B131" s="95" t="str">
        <f>'Active and Pre-IPO SPACs'!B132</f>
        <v>Callodine Acquisition Corp</v>
      </c>
      <c r="C131" s="95" t="str">
        <f>'Active and Pre-IPO SPACs'!C132</f>
        <v>Pre IPO</v>
      </c>
      <c r="D131" s="91" t="str">
        <f>'Active and Pre-IPO SPACs'!D132</f>
        <v/>
      </c>
      <c r="E131" s="96" t="str">
        <f>'Active and Pre-IPO SPACs'!E132</f>
        <v/>
      </c>
      <c r="F131" s="97" t="str">
        <f>'Active and Pre-IPO SPACs'!F132</f>
        <v/>
      </c>
      <c r="G131" s="98" t="str">
        <f>'Active and Pre-IPO SPACs'!P132</f>
        <v/>
      </c>
      <c r="H131" s="99">
        <f>'Active and Pre-IPO SPACs'!Q132</f>
        <v>250</v>
      </c>
      <c r="I131" s="100" t="str">
        <f>'Active and Pre-IPO SPACs'!M132</f>
        <v>U: [1/3 W]; W: [1:1, $11.5]</v>
      </c>
    </row>
    <row r="132">
      <c r="A132" s="78" t="str">
        <f>'Active and Pre-IPO SPACs'!A133</f>
        <v>CAP</v>
      </c>
      <c r="B132" s="95" t="str">
        <f>'Active and Pre-IPO SPACs'!B133</f>
        <v>Capitol Investment Corp. V</v>
      </c>
      <c r="C132" s="95" t="str">
        <f>'Active and Pre-IPO SPACs'!C133</f>
        <v>Definitive Agreement</v>
      </c>
      <c r="D132" s="91" t="str">
        <f>'Active and Pre-IPO SPACs'!D133</f>
        <v/>
      </c>
      <c r="E132" s="96" t="str">
        <f>'Active and Pre-IPO SPACs'!E133</f>
        <v>Doma [DA: 03/02/21]</v>
      </c>
      <c r="F132" s="97" t="str">
        <f>'Active and Pre-IPO SPACs'!F133</f>
        <v>Mark Ein and Dyson Dryden, Raul Fernandez (Vice Chair, Moumental Sports &amp; Entertainment), Tad Smith, Jr. (Fmr CEO, Sotheby's)</v>
      </c>
      <c r="G132" s="98">
        <f>'Active and Pre-IPO SPACs'!P133</f>
        <v>44167</v>
      </c>
      <c r="H132" s="99">
        <f>'Active and Pre-IPO SPACs'!Q133</f>
        <v>345</v>
      </c>
      <c r="I132" s="100" t="str">
        <f>'Active and Pre-IPO SPACs'!M133</f>
        <v>U: [1/3 W]; W: [1:1, $11.5]</v>
      </c>
    </row>
    <row r="133">
      <c r="A133" s="78" t="str">
        <f>'Active and Pre-IPO SPACs'!A134</f>
        <v>CAPA</v>
      </c>
      <c r="B133" s="95" t="str">
        <f>'Active and Pre-IPO SPACs'!B134</f>
        <v>HighCape Capital Acquisition Corp.</v>
      </c>
      <c r="C133" s="95" t="str">
        <f>'Active and Pre-IPO SPACs'!C134</f>
        <v>Definitive Agreement</v>
      </c>
      <c r="D133" s="91" t="str">
        <f>'Active and Pre-IPO SPACs'!D134</f>
        <v>Life Sciences, Healthcare</v>
      </c>
      <c r="E133" s="96" t="str">
        <f>'Active and Pre-IPO SPACs'!E134</f>
        <v>Quantum-Si [DA: 02/18/21]</v>
      </c>
      <c r="F133" s="97" t="str">
        <f>'Active and Pre-IPO SPACs'!F134</f>
        <v>Kevin Rakin (Partner High Cape Capital, Former CEO of BioHealing)</v>
      </c>
      <c r="G133" s="98">
        <f>'Active and Pre-IPO SPACs'!P134</f>
        <v>44077</v>
      </c>
      <c r="H133" s="99">
        <f>'Active and Pre-IPO SPACs'!Q134</f>
        <v>115</v>
      </c>
      <c r="I133" s="100" t="str">
        <f>'Active and Pre-IPO SPACs'!M134</f>
        <v>U: [1/3 W]; W: [1:1, $11.5]</v>
      </c>
    </row>
    <row r="134">
      <c r="A134" s="78" t="str">
        <f>'Active and Pre-IPO SPACs'!A135</f>
        <v>CAS</v>
      </c>
      <c r="B134" s="95" t="str">
        <f>'Active and Pre-IPO SPACs'!B135</f>
        <v>Cascade Acquisition Corp.</v>
      </c>
      <c r="C134" s="95" t="str">
        <f>'Active and Pre-IPO SPACs'!C135</f>
        <v>Searching</v>
      </c>
      <c r="D134" s="91" t="str">
        <f>'Active and Pre-IPO SPACs'!D135</f>
        <v>Financial Services</v>
      </c>
      <c r="E134" s="96" t="str">
        <f>'Active and Pre-IPO SPACs'!E135</f>
        <v/>
      </c>
      <c r="F134" s="97" t="str">
        <f>'Active and Pre-IPO SPACs'!F135</f>
        <v>Jay Levine (Chairman, OneMain Financial)</v>
      </c>
      <c r="G134" s="98">
        <f>'Active and Pre-IPO SPACs'!P135</f>
        <v>44155</v>
      </c>
      <c r="H134" s="99">
        <f>'Active and Pre-IPO SPACs'!Q135</f>
        <v>202</v>
      </c>
      <c r="I134" s="100" t="str">
        <f>'Active and Pre-IPO SPACs'!M135</f>
        <v>U: [1/2 W]; W: [1:1, $11.5]</v>
      </c>
    </row>
    <row r="135">
      <c r="A135" s="78" t="str">
        <f>'Active and Pre-IPO SPACs'!A136</f>
        <v>CATL</v>
      </c>
      <c r="B135" s="95" t="str">
        <f>'Active and Pre-IPO SPACs'!B136</f>
        <v>Category Leader Partner Corp 1</v>
      </c>
      <c r="C135" s="95" t="str">
        <f>'Active and Pre-IPO SPACs'!C136</f>
        <v>Pre IPO</v>
      </c>
      <c r="D135" s="101" t="str">
        <f>'Active and Pre-IPO SPACs'!D136</f>
        <v>B2B software</v>
      </c>
      <c r="E135" s="96" t="str">
        <f>'Active and Pre-IPO SPACs'!E136</f>
        <v/>
      </c>
      <c r="F135" s="97" t="str">
        <f>'Active and Pre-IPO SPACs'!F136</f>
        <v>Richard Lowenthal (Founder, Director, &amp; Former CEO of ChargePoint), Taher Elgamal (CTO of Security at Salesforce and “recognized as the Father of SSL encryption”), Susan Siegel (Former Chief Innovation Officer at GE, Former CEO of GE Ventures, and Director of Illumina)</v>
      </c>
      <c r="G135" s="98" t="str">
        <f>'Active and Pre-IPO SPACs'!P136</f>
        <v/>
      </c>
      <c r="H135" s="99">
        <f>'Active and Pre-IPO SPACs'!Q136</f>
        <v>200</v>
      </c>
      <c r="I135" s="100" t="str">
        <f>'Active and Pre-IPO SPACs'!M136</f>
        <v>U: [1/2 W]; W: [1:1, $11.5]</v>
      </c>
    </row>
    <row r="136">
      <c r="A136" s="78" t="str">
        <f>'Active and Pre-IPO SPACs'!A137</f>
        <v>CAVU</v>
      </c>
      <c r="B136" s="95" t="str">
        <f>'Active and Pre-IPO SPACs'!B137</f>
        <v>CAVU Technology Acquisition Corp.</v>
      </c>
      <c r="C136" s="95" t="str">
        <f>'Active and Pre-IPO SPACs'!C137</f>
        <v>Pre IPO</v>
      </c>
      <c r="D136" s="101" t="str">
        <f>'Active and Pre-IPO SPACs'!D137</f>
        <v>Tech, including in IT services, Software, SaaS, and Digital Transformation</v>
      </c>
      <c r="E136" s="96" t="str">
        <f>'Active and Pre-IPO SPACs'!E137</f>
        <v/>
      </c>
      <c r="F136" s="97" t="str">
        <f>'Active and Pre-IPO SPACs'!F137</f>
        <v>Barry Shevlin (Former CEO of Vology) </v>
      </c>
      <c r="G136" s="98" t="str">
        <f>'Active and Pre-IPO SPACs'!P137</f>
        <v/>
      </c>
      <c r="H136" s="99">
        <f>'Active and Pre-IPO SPACs'!Q137</f>
        <v>100</v>
      </c>
      <c r="I136" s="100" t="str">
        <f>'Active and Pre-IPO SPACs'!M137</f>
        <v>U: [1/2 W]; W: [1:1, $11.5]</v>
      </c>
    </row>
    <row r="137">
      <c r="A137" s="78" t="str">
        <f>'Active and Pre-IPO SPACs'!A138</f>
        <v>CBAH</v>
      </c>
      <c r="B137" s="95" t="str">
        <f>'Active and Pre-IPO SPACs'!B138</f>
        <v>CBRE Acquisition Holdings, Inc.</v>
      </c>
      <c r="C137" s="95" t="str">
        <f>'Active and Pre-IPO SPACs'!C138</f>
        <v>Searching</v>
      </c>
      <c r="D137" s="91" t="str">
        <f>'Active and Pre-IPO SPACs'!D138</f>
        <v/>
      </c>
      <c r="E137" s="96" t="str">
        <f>'Active and Pre-IPO SPACs'!E138</f>
        <v/>
      </c>
      <c r="F137" s="97" t="str">
        <f>'Active and Pre-IPO SPACs'!F138</f>
        <v>Robert Sulentic (CEO, CBRE Group), Jamie Hodari (Co-founder/CEO, Industrious)</v>
      </c>
      <c r="G137" s="98">
        <f>'Active and Pre-IPO SPACs'!P138</f>
        <v>44175</v>
      </c>
      <c r="H137" s="99">
        <f>'Active and Pre-IPO SPACs'!Q138</f>
        <v>402.5</v>
      </c>
      <c r="I137" s="100" t="str">
        <f>'Active and Pre-IPO SPACs'!M138</f>
        <v>U: [1/4 W]; W: [1:1, $11]</v>
      </c>
    </row>
    <row r="138">
      <c r="A138" s="78" t="str">
        <f>'Active and Pre-IPO SPACs'!A139</f>
        <v>CBRG</v>
      </c>
      <c r="B138" s="95" t="str">
        <f>'Active and Pre-IPO SPACs'!B139</f>
        <v>Chain Bridge I</v>
      </c>
      <c r="C138" s="95" t="str">
        <f>'Active and Pre-IPO SPACs'!C139</f>
        <v>Pre IPO</v>
      </c>
      <c r="D138" s="101" t="str">
        <f>'Active and Pre-IPO SPACs'!D139</f>
        <v>National Security Tech</v>
      </c>
      <c r="E138" s="96" t="str">
        <f>'Active and Pre-IPO SPACs'!E139</f>
        <v/>
      </c>
      <c r="F138" s="97" t="str">
        <f>'Active and Pre-IPO SPACs'!F139</f>
        <v>Christopher Darby (CEO of IQT), Michael Morell (Former Deputy Director of the CIA), Letitia Long (Former Director of the National Geospatial-Intelligence Agency and Former Director of Raytheon)</v>
      </c>
      <c r="G138" s="98" t="str">
        <f>'Active and Pre-IPO SPACs'!P139</f>
        <v/>
      </c>
      <c r="H138" s="99">
        <f>'Active and Pre-IPO SPACs'!Q139</f>
        <v>300</v>
      </c>
      <c r="I138" s="100" t="str">
        <f>'Active and Pre-IPO SPACs'!M139</f>
        <v>U: [1/3 W]; W: [1:1, $11.5]</v>
      </c>
    </row>
    <row r="139">
      <c r="A139" s="78" t="str">
        <f>'Active and Pre-IPO SPACs'!A140</f>
        <v>CCAC</v>
      </c>
      <c r="B139" s="95" t="str">
        <f>'Active and Pre-IPO SPACs'!B140</f>
        <v>CITIC Capital Acquisition Corp</v>
      </c>
      <c r="C139" s="95" t="str">
        <f>'Active and Pre-IPO SPACs'!C140</f>
        <v>Searching</v>
      </c>
      <c r="D139" s="91" t="str">
        <f>'Active and Pre-IPO SPACs'!D140</f>
        <v>Energy Efficiency, Clean Tech, Sustainability</v>
      </c>
      <c r="E139" s="96" t="str">
        <f>'Active and Pre-IPO SPACs'!E140</f>
        <v/>
      </c>
      <c r="F139" s="97" t="str">
        <f>'Active and Pre-IPO SPACs'!F140</f>
        <v/>
      </c>
      <c r="G139" s="98">
        <f>'Active and Pre-IPO SPACs'!P140</f>
        <v>43872</v>
      </c>
      <c r="H139" s="99">
        <f>'Active and Pre-IPO SPACs'!Q140</f>
        <v>276</v>
      </c>
      <c r="I139" s="100" t="str">
        <f>'Active and Pre-IPO SPACs'!M140</f>
        <v>U: [1/2 W]; W: [1:1, $11.5]</v>
      </c>
    </row>
    <row r="140">
      <c r="A140" s="78" t="str">
        <f>'Active and Pre-IPO SPACs'!A141</f>
        <v>CCIV</v>
      </c>
      <c r="B140" s="95" t="str">
        <f>'Active and Pre-IPO SPACs'!B141</f>
        <v>Churchill Capital Corp IV</v>
      </c>
      <c r="C140" s="95" t="str">
        <f>'Active and Pre-IPO SPACs'!C141</f>
        <v>Definitive Agreement</v>
      </c>
      <c r="D140" s="91" t="str">
        <f>'Active and Pre-IPO SPACs'!D141</f>
        <v/>
      </c>
      <c r="E140" s="96" t="str">
        <f>'Active and Pre-IPO SPACs'!E141</f>
        <v>Lucid Motors [DA: 02/22/21]</v>
      </c>
      <c r="F140" s="97" t="str">
        <f>'Active and Pre-IPO SPACs'!F141</f>
        <v>Michael Klein (Former Co-CEO of Citigroup Markets and Banking)</v>
      </c>
      <c r="G140" s="98">
        <f>'Active and Pre-IPO SPACs'!P141</f>
        <v>44042</v>
      </c>
      <c r="H140" s="99">
        <f>'Active and Pre-IPO SPACs'!Q141</f>
        <v>2070</v>
      </c>
      <c r="I140" s="100" t="str">
        <f>'Active and Pre-IPO SPACs'!M141</f>
        <v>U: [1/5 W]; W: [1:1, $11.5]</v>
      </c>
    </row>
    <row r="141">
      <c r="A141" s="78" t="str">
        <f>'Active and Pre-IPO SPACs'!A142</f>
        <v>CCV</v>
      </c>
      <c r="B141" s="95" t="str">
        <f>'Active and Pre-IPO SPACs'!B142</f>
        <v>Churchill Capital Corp V</v>
      </c>
      <c r="C141" s="95" t="str">
        <f>'Active and Pre-IPO SPACs'!C142</f>
        <v>Searching</v>
      </c>
      <c r="D141" s="91" t="str">
        <f>'Active and Pre-IPO SPACs'!D142</f>
        <v/>
      </c>
      <c r="E141" s="96" t="str">
        <f>'Active and Pre-IPO SPACs'!E142</f>
        <v/>
      </c>
      <c r="F141" s="97" t="str">
        <f>'Active and Pre-IPO SPACs'!F142</f>
        <v>Michael Klein (Former Co-CEO of Citigroup Markets and Banking)</v>
      </c>
      <c r="G141" s="98">
        <f>'Active and Pre-IPO SPACs'!P142</f>
        <v>44181</v>
      </c>
      <c r="H141" s="99">
        <f>'Active and Pre-IPO SPACs'!Q142</f>
        <v>500</v>
      </c>
      <c r="I141" s="100" t="str">
        <f>'Active and Pre-IPO SPACs'!M142</f>
        <v>U: [1/4 W]; W: [1:1, $11.5]</v>
      </c>
    </row>
    <row r="142">
      <c r="A142" s="78" t="str">
        <f>'Active and Pre-IPO SPACs'!A143</f>
        <v>CCVI</v>
      </c>
      <c r="B142" s="95" t="str">
        <f>'Active and Pre-IPO SPACs'!B143</f>
        <v>Churchill Capital Corp VI</v>
      </c>
      <c r="C142" s="95" t="str">
        <f>'Active and Pre-IPO SPACs'!C143</f>
        <v>Searching</v>
      </c>
      <c r="D142" s="91" t="str">
        <f>'Active and Pre-IPO SPACs'!D143</f>
        <v/>
      </c>
      <c r="E142" s="96" t="str">
        <f>'Active and Pre-IPO SPACs'!E143</f>
        <v/>
      </c>
      <c r="F142" s="97" t="str">
        <f>'Active and Pre-IPO SPACs'!F143</f>
        <v>Michael Klein (Former Co-CEO of Citigroup Markets and Banking), Glenn August (Founder/CEO, Oak Hill Advisors)</v>
      </c>
      <c r="G142" s="98">
        <f>'Active and Pre-IPO SPACs'!P143</f>
        <v>44239</v>
      </c>
      <c r="H142" s="99">
        <f>'Active and Pre-IPO SPACs'!Q143</f>
        <v>552</v>
      </c>
      <c r="I142" s="100" t="str">
        <f>'Active and Pre-IPO SPACs'!M143</f>
        <v>U: [1/5 W]; W: [1:1, $11.5]</v>
      </c>
    </row>
    <row r="143">
      <c r="A143" s="78" t="str">
        <f>'Active and Pre-IPO SPACs'!A144</f>
        <v>CCX</v>
      </c>
      <c r="B143" s="95" t="str">
        <f>'Active and Pre-IPO SPACs'!B144</f>
        <v>Churchill Capital Corp II</v>
      </c>
      <c r="C143" s="95" t="str">
        <f>'Active and Pre-IPO SPACs'!C144</f>
        <v>Definitive Agreement</v>
      </c>
      <c r="D143" s="91" t="str">
        <f>'Active and Pre-IPO SPACs'!D144</f>
        <v/>
      </c>
      <c r="E143" s="96" t="str">
        <f>'Active and Pre-IPO SPACs'!E144</f>
        <v>Skillsoft and Global Knowledge [DA: 10/13/20]</v>
      </c>
      <c r="F143" s="97" t="str">
        <f>'Active and Pre-IPO SPACs'!F144</f>
        <v>Michael Klein (Former Co-CEO of Citigroup Markets and Banking)</v>
      </c>
      <c r="G143" s="98">
        <f>'Active and Pre-IPO SPACs'!P144</f>
        <v>43642</v>
      </c>
      <c r="H143" s="99">
        <f>'Active and Pre-IPO SPACs'!Q144</f>
        <v>690</v>
      </c>
      <c r="I143" s="100" t="str">
        <f>'Active and Pre-IPO SPACs'!M144</f>
        <v>U: [1/3 W]; W: [1:1, $11.5]</v>
      </c>
    </row>
    <row r="144">
      <c r="A144" s="78" t="str">
        <f>'Active and Pre-IPO SPACs'!A145</f>
        <v>CEAS</v>
      </c>
      <c r="B144" s="95" t="str">
        <f>'Active and Pre-IPO SPACs'!B145</f>
        <v>CEA Space Partners I Corp.</v>
      </c>
      <c r="C144" s="95" t="str">
        <f>'Active and Pre-IPO SPACs'!C145</f>
        <v>Pre IPO</v>
      </c>
      <c r="D144" s="91" t="str">
        <f>'Active and Pre-IPO SPACs'!D145</f>
        <v>Space Economy</v>
      </c>
      <c r="E144" s="96" t="str">
        <f>'Active and Pre-IPO SPACs'!E145</f>
        <v/>
      </c>
      <c r="F144" s="97" t="str">
        <f>'Active and Pre-IPO SPACs'!F145</f>
        <v>Edward Horowitz (Former Chairman &amp; CEO of Viacom Broadcasting and the Viacom Interactive Media Group), Dr. Lonnie Johnson (NASA scientist), Nicole Stott (Former NASA Astronaut), Rick Michaels, Jr. (Chairman &amp; CEO of the CEA Group)</v>
      </c>
      <c r="G144" s="98" t="str">
        <f>'Active and Pre-IPO SPACs'!P145</f>
        <v/>
      </c>
      <c r="H144" s="99">
        <f>'Active and Pre-IPO SPACs'!Q145</f>
        <v>250</v>
      </c>
      <c r="I144" s="100" t="str">
        <f>'Active and Pre-IPO SPACs'!M145</f>
        <v>U: [1/3 W]; W: [1:1, $11.5]</v>
      </c>
    </row>
    <row r="145">
      <c r="A145" s="78" t="str">
        <f>'Active and Pre-IPO SPACs'!A146</f>
        <v>CENH</v>
      </c>
      <c r="B145" s="95" t="str">
        <f>'Active and Pre-IPO SPACs'!B146</f>
        <v>Centricus Acquisition Corp.</v>
      </c>
      <c r="C145" s="95" t="str">
        <f>'Active and Pre-IPO SPACs'!C146</f>
        <v>Searching</v>
      </c>
      <c r="D145" s="91" t="str">
        <f>'Active and Pre-IPO SPACs'!D146</f>
        <v/>
      </c>
      <c r="E145" s="96" t="str">
        <f>'Active and Pre-IPO SPACs'!E146</f>
        <v/>
      </c>
      <c r="F145" s="97" t="str">
        <f>'Active and Pre-IPO SPACs'!F146</f>
        <v>Manfredi Lefebvre d’Ovidio (Fmr Exec Chairman, Silversea Cruises), Garth Ritchie (Fmr President Investment Banking, Deutsche Bank)</v>
      </c>
      <c r="G145" s="98">
        <f>'Active and Pre-IPO SPACs'!P146</f>
        <v>44230</v>
      </c>
      <c r="H145" s="99">
        <f>'Active and Pre-IPO SPACs'!Q146</f>
        <v>345</v>
      </c>
      <c r="I145" s="100" t="str">
        <f>'Active and Pre-IPO SPACs'!M146</f>
        <v>U: [1/4 W]; W: [1:1, $11.5]</v>
      </c>
    </row>
    <row r="146">
      <c r="A146" s="78" t="str">
        <f>'Active and Pre-IPO SPACs'!A147</f>
        <v>CENQ</v>
      </c>
      <c r="B146" s="95" t="str">
        <f>'Active and Pre-IPO SPACs'!B147</f>
        <v>CENAQ Energy Corp.</v>
      </c>
      <c r="C146" s="95" t="str">
        <f>'Active and Pre-IPO SPACs'!C147</f>
        <v>Pre IPO</v>
      </c>
      <c r="D146" s="101" t="str">
        <f>'Active and Pre-IPO SPACs'!D147</f>
        <v>Energy</v>
      </c>
      <c r="E146" s="96" t="str">
        <f>'Active and Pre-IPO SPACs'!E147</f>
        <v/>
      </c>
      <c r="F146" s="97" t="str">
        <f>'Active and Pre-IPO SPACs'!F147</f>
        <v/>
      </c>
      <c r="G146" s="98" t="str">
        <f>'Active and Pre-IPO SPACs'!P147</f>
        <v/>
      </c>
      <c r="H146" s="99">
        <f>'Active and Pre-IPO SPACs'!Q147</f>
        <v>150</v>
      </c>
      <c r="I146" s="100" t="str">
        <f>'Active and Pre-IPO SPACs'!M147</f>
        <v>U: [1/2 W]; W: [1:1, $11.5]</v>
      </c>
    </row>
    <row r="147">
      <c r="A147" s="78" t="str">
        <f>'Active and Pre-IPO SPACs'!A148</f>
        <v>CFAC</v>
      </c>
      <c r="B147" s="95" t="str">
        <f>'Active and Pre-IPO SPACs'!B148</f>
        <v>CF Finance Acquisition Corp. III</v>
      </c>
      <c r="C147" s="95" t="str">
        <f>'Active and Pre-IPO SPACs'!C148</f>
        <v>Definitive Agreement</v>
      </c>
      <c r="D147" s="91" t="str">
        <f>'Active and Pre-IPO SPACs'!D148</f>
        <v/>
      </c>
      <c r="E147" s="96" t="str">
        <f>'Active and Pre-IPO SPACs'!E148</f>
        <v>AEye [DA: 02/17/21]</v>
      </c>
      <c r="F147" s="97" t="str">
        <f>'Active and Pre-IPO SPACs'!F148</f>
        <v>Howard Lutnick (CEO, Cantor)</v>
      </c>
      <c r="G147" s="98">
        <f>'Active and Pre-IPO SPACs'!P148</f>
        <v>44147</v>
      </c>
      <c r="H147" s="99">
        <f>'Active and Pre-IPO SPACs'!Q148</f>
        <v>230</v>
      </c>
      <c r="I147" s="100" t="str">
        <f>'Active and Pre-IPO SPACs'!M148</f>
        <v>U: [1/3 W]; W: [1:1, $11.5]</v>
      </c>
    </row>
    <row r="148">
      <c r="A148" s="78" t="str">
        <f>'Active and Pre-IPO SPACs'!A149</f>
        <v>CFFE</v>
      </c>
      <c r="B148" s="95" t="str">
        <f>'Active and Pre-IPO SPACs'!B149</f>
        <v>CF Acquisition Corp. VIII</v>
      </c>
      <c r="C148" s="95" t="str">
        <f>'Active and Pre-IPO SPACs'!C149</f>
        <v>Searching (Pre Unit Split)</v>
      </c>
      <c r="D148" s="101" t="str">
        <f>'Active and Pre-IPO SPACs'!D149</f>
        <v>Financial Services, Healthcare, Real Estate Services, Tech, Software</v>
      </c>
      <c r="E148" s="96" t="str">
        <f>'Active and Pre-IPO SPACs'!E149</f>
        <v/>
      </c>
      <c r="F148" s="97" t="str">
        <f>'Active and Pre-IPO SPACs'!F149</f>
        <v>Howard Lutnick (CEO, Cantor), Anshu Jain (President, Cantor; Fmr Co-CEO, Deutsche Bank)</v>
      </c>
      <c r="G148" s="98">
        <f>'Active and Pre-IPO SPACs'!P149</f>
        <v>44266</v>
      </c>
      <c r="H148" s="99">
        <f>'Active and Pre-IPO SPACs'!Q149</f>
        <v>250</v>
      </c>
      <c r="I148" s="100" t="str">
        <f>'Active and Pre-IPO SPACs'!M149</f>
        <v>U: [1/4 W]; W: [1:1, $11.5]</v>
      </c>
    </row>
    <row r="149">
      <c r="A149" s="78" t="str">
        <f>'Active and Pre-IPO SPACs'!A150</f>
        <v>CFFS</v>
      </c>
      <c r="B149" s="95" t="str">
        <f>'Active and Pre-IPO SPACs'!B150</f>
        <v>CF Acquisition Corp. VII</v>
      </c>
      <c r="C149" s="95" t="str">
        <f>'Active and Pre-IPO SPACs'!C150</f>
        <v>Pre IPO</v>
      </c>
      <c r="D149" s="101" t="str">
        <f>'Active and Pre-IPO SPACs'!D150</f>
        <v>Financial Services, Healthcare, Real Estate Services, Tech, Software</v>
      </c>
      <c r="E149" s="96" t="str">
        <f>'Active and Pre-IPO SPACs'!E150</f>
        <v/>
      </c>
      <c r="F149" s="97" t="str">
        <f>'Active and Pre-IPO SPACs'!F150</f>
        <v>Howard Lutnick (CEO, Cantor), Anshu Jain (President, Cantor; Fmr Co-CEO, Deutsche Bank)</v>
      </c>
      <c r="G149" s="98" t="str">
        <f>'Active and Pre-IPO SPACs'!P150</f>
        <v/>
      </c>
      <c r="H149" s="99">
        <f>'Active and Pre-IPO SPACs'!Q150</f>
        <v>175</v>
      </c>
      <c r="I149" s="100" t="str">
        <f>'Active and Pre-IPO SPACs'!M150</f>
        <v>U: [1/4 W]; W: [1:1, $11.5]</v>
      </c>
    </row>
    <row r="150">
      <c r="A150" s="78" t="str">
        <f>'Active and Pre-IPO SPACs'!A151</f>
        <v>CFIV</v>
      </c>
      <c r="B150" s="95" t="str">
        <f>'Active and Pre-IPO SPACs'!B151</f>
        <v>CF Acquisition Corp. IV</v>
      </c>
      <c r="C150" s="95" t="str">
        <f>'Active and Pre-IPO SPACs'!C151</f>
        <v>Searching</v>
      </c>
      <c r="D150" s="91" t="str">
        <f>'Active and Pre-IPO SPACs'!D151</f>
        <v>Financial services, Healthcare, Real estate services, Tech and Software </v>
      </c>
      <c r="E150" s="96" t="str">
        <f>'Active and Pre-IPO SPACs'!E151</f>
        <v/>
      </c>
      <c r="F150" s="97" t="str">
        <f>'Active and Pre-IPO SPACs'!F151</f>
        <v>Howard Lutnick (CEO, Cantor)</v>
      </c>
      <c r="G150" s="98">
        <f>'Active and Pre-IPO SPACs'!P151</f>
        <v>44187</v>
      </c>
      <c r="H150" s="99">
        <f>'Active and Pre-IPO SPACs'!Q151</f>
        <v>500</v>
      </c>
      <c r="I150" s="100" t="str">
        <f>'Active and Pre-IPO SPACs'!M151</f>
        <v>U: [1/3 W]; W: [1:1, $11.5]</v>
      </c>
    </row>
    <row r="151">
      <c r="A151" s="78" t="str">
        <f>'Active and Pre-IPO SPACs'!A152</f>
        <v>CFV</v>
      </c>
      <c r="B151" s="95" t="str">
        <f>'Active and Pre-IPO SPACs'!B152</f>
        <v>CF Acquisition Corp. V</v>
      </c>
      <c r="C151" s="95" t="str">
        <f>'Active and Pre-IPO SPACs'!C152</f>
        <v>Searching</v>
      </c>
      <c r="D151" s="91" t="str">
        <f>'Active and Pre-IPO SPACs'!D152</f>
        <v>Financial services, Healthcare, Real estate services, Tech and Software </v>
      </c>
      <c r="E151" s="96" t="str">
        <f>'Active and Pre-IPO SPACs'!E152</f>
        <v/>
      </c>
      <c r="F151" s="97" t="str">
        <f>'Active and Pre-IPO SPACs'!F152</f>
        <v>Howard Lutnick (CEO, Cantor)</v>
      </c>
      <c r="G151" s="98">
        <f>'Active and Pre-IPO SPACs'!P152</f>
        <v>44224</v>
      </c>
      <c r="H151" s="99">
        <f>'Active and Pre-IPO SPACs'!Q152</f>
        <v>250</v>
      </c>
      <c r="I151" s="100" t="str">
        <f>'Active and Pre-IPO SPACs'!M152</f>
        <v>U: [1/3 W]; W: [1:1, $11.5]</v>
      </c>
    </row>
    <row r="152">
      <c r="A152" s="78" t="str">
        <f>'Active and Pre-IPO SPACs'!A153</f>
        <v>CFVI</v>
      </c>
      <c r="B152" s="95" t="str">
        <f>'Active and Pre-IPO SPACs'!B153</f>
        <v>CF Acquisition Corp. VI</v>
      </c>
      <c r="C152" s="95" t="str">
        <f>'Active and Pre-IPO SPACs'!C153</f>
        <v>Searching (Pre Unit Split)</v>
      </c>
      <c r="D152" s="91" t="str">
        <f>'Active and Pre-IPO SPACs'!D153</f>
        <v>Financial services, Healthcare, Real estate services, Tech and Software </v>
      </c>
      <c r="E152" s="96" t="str">
        <f>'Active and Pre-IPO SPACs'!E153</f>
        <v/>
      </c>
      <c r="F152" s="97" t="str">
        <f>'Active and Pre-IPO SPACs'!F153</f>
        <v>Howard Lutnick (CEO, Cantor)</v>
      </c>
      <c r="G152" s="98">
        <f>'Active and Pre-IPO SPACs'!P153</f>
        <v>44245</v>
      </c>
      <c r="H152" s="99">
        <f>'Active and Pre-IPO SPACs'!Q153</f>
        <v>300</v>
      </c>
      <c r="I152" s="100" t="str">
        <f>'Active and Pre-IPO SPACs'!M153</f>
        <v>U: [1/4 W]; W: [1:1, $11.5]</v>
      </c>
    </row>
    <row r="153">
      <c r="A153" s="78" t="str">
        <f>'Active and Pre-IPO SPACs'!A154</f>
        <v>CGRO</v>
      </c>
      <c r="B153" s="95" t="str">
        <f>'Active and Pre-IPO SPACs'!B154</f>
        <v>Collective Growth Corp</v>
      </c>
      <c r="C153" s="95" t="str">
        <f>'Active and Pre-IPO SPACs'!C154</f>
        <v>Completed</v>
      </c>
      <c r="D153" s="91" t="str">
        <f>'Active and Pre-IPO SPACs'!D154</f>
        <v>Cannabis</v>
      </c>
      <c r="E153" s="96" t="str">
        <f>'Active and Pre-IPO SPACs'!E154</f>
        <v>Innoviz Technologies [DA: 12/10/20]</v>
      </c>
      <c r="F153" s="97" t="str">
        <f>'Active and Pre-IPO SPACs'!F154</f>
        <v/>
      </c>
      <c r="G153" s="98">
        <f>'Active and Pre-IPO SPACs'!P154</f>
        <v>43952</v>
      </c>
      <c r="H153" s="99">
        <f>'Active and Pre-IPO SPACs'!Q154</f>
        <v>150</v>
      </c>
      <c r="I153" s="100" t="str">
        <f>'Active and Pre-IPO SPACs'!M154</f>
        <v>U: [1/2 W]; W: [1:1, $11.5]</v>
      </c>
    </row>
    <row r="154">
      <c r="A154" s="78" t="str">
        <f>'Active and Pre-IPO SPACs'!A155</f>
        <v>CHAA</v>
      </c>
      <c r="B154" s="95" t="str">
        <f>'Active and Pre-IPO SPACs'!B155</f>
        <v>Catcha Investment Corp</v>
      </c>
      <c r="C154" s="95" t="str">
        <f>'Active and Pre-IPO SPACs'!C155</f>
        <v>Searching</v>
      </c>
      <c r="D154" s="91" t="str">
        <f>'Active and Pre-IPO SPACs'!D155</f>
        <v>Tech, Digital Media, Fintech, Asia Pacific (focus on SE Asia &amp; Australia)</v>
      </c>
      <c r="E154" s="96" t="str">
        <f>'Active and Pre-IPO SPACs'!E155</f>
        <v/>
      </c>
      <c r="F154" s="97" t="str">
        <f>'Active and Pre-IPO SPACs'!F155</f>
        <v>Patrick Grove (Founder, Catcha Group), James Graf (Fmr CEO, Graf Industrial Corp: merged with VLDR)</v>
      </c>
      <c r="G154" s="98">
        <f>'Active and Pre-IPO SPACs'!P155</f>
        <v>44238</v>
      </c>
      <c r="H154" s="99">
        <f>'Active and Pre-IPO SPACs'!Q155</f>
        <v>300</v>
      </c>
      <c r="I154" s="100" t="str">
        <f>'Active and Pre-IPO SPACs'!M155</f>
        <v>U: [1/3 W]; W: [1:1, $11.5]</v>
      </c>
    </row>
    <row r="155">
      <c r="A155" s="78" t="str">
        <f>'Active and Pre-IPO SPACs'!A156</f>
        <v>CHAB</v>
      </c>
      <c r="B155" s="95" t="str">
        <f>'Active and Pre-IPO SPACs'!B156</f>
        <v>Catcha Investment Corp 2.0</v>
      </c>
      <c r="C155" s="95" t="str">
        <f>'Active and Pre-IPO SPACs'!C156</f>
        <v>Pre IPO</v>
      </c>
      <c r="D155" s="91" t="str">
        <f>'Active and Pre-IPO SPACs'!D156</f>
        <v>Tech, Digital Media, Fintech, Asia Pacific (focus on SE Asia &amp; Australia)</v>
      </c>
      <c r="E155" s="96" t="str">
        <f>'Active and Pre-IPO SPACs'!E156</f>
        <v/>
      </c>
      <c r="F155" s="97" t="str">
        <f>'Active and Pre-IPO SPACs'!F156</f>
        <v>Patrick Grove (Founder of Catcha Group)</v>
      </c>
      <c r="G155" s="98" t="str">
        <f>'Active and Pre-IPO SPACs'!P156</f>
        <v/>
      </c>
      <c r="H155" s="99">
        <f>'Active and Pre-IPO SPACs'!Q156</f>
        <v>250</v>
      </c>
      <c r="I155" s="100" t="str">
        <f>'Active and Pre-IPO SPACs'!M156</f>
        <v>U: [1/3 W]; W: [1:1, $11.5]</v>
      </c>
    </row>
    <row r="156">
      <c r="A156" s="78" t="str">
        <f>'Active and Pre-IPO SPACs'!A157</f>
        <v>CHAQ</v>
      </c>
      <c r="B156" s="95" t="str">
        <f>'Active and Pre-IPO SPACs'!B157</f>
        <v>Chardan Healthcare Acquisition 2 Corp</v>
      </c>
      <c r="C156" s="95" t="str">
        <f>'Active and Pre-IPO SPACs'!C157</f>
        <v>Definitive Agreement</v>
      </c>
      <c r="D156" s="91" t="str">
        <f>'Active and Pre-IPO SPACs'!D157</f>
        <v>Healthcare</v>
      </c>
      <c r="E156" s="96" t="str">
        <f>'Active and Pre-IPO SPACs'!E157</f>
        <v>Renovacor [DA: 03/23/21]</v>
      </c>
      <c r="F156" s="97" t="str">
        <f>'Active and Pre-IPO SPACs'!F157</f>
        <v>Chardan</v>
      </c>
      <c r="G156" s="98">
        <f>'Active and Pre-IPO SPACs'!P157</f>
        <v>43945</v>
      </c>
      <c r="H156" s="99">
        <f>'Active and Pre-IPO SPACs'!Q157</f>
        <v>85</v>
      </c>
      <c r="I156" s="100" t="str">
        <f>'Active and Pre-IPO SPACs'!M157</f>
        <v>U: [1 W]; W: [2:1, $11.5]</v>
      </c>
    </row>
    <row r="157">
      <c r="A157" s="78" t="str">
        <f>'Active and Pre-IPO SPACs'!A158</f>
        <v>CHFW</v>
      </c>
      <c r="B157" s="95" t="str">
        <f>'Active and Pre-IPO SPACs'!B158</f>
        <v>Consonance-HFW Acquisition Corp.</v>
      </c>
      <c r="C157" s="95" t="str">
        <f>'Active and Pre-IPO SPACs'!C158</f>
        <v>Searching</v>
      </c>
      <c r="D157" s="91" t="str">
        <f>'Active and Pre-IPO SPACs'!D158</f>
        <v>Life Sciences</v>
      </c>
      <c r="E157" s="96" t="str">
        <f>'Active and Pre-IPO SPACs'!E158</f>
        <v/>
      </c>
      <c r="F157" s="97" t="str">
        <f>'Active and Pre-IPO SPACs'!F158</f>
        <v/>
      </c>
      <c r="G157" s="98">
        <f>'Active and Pre-IPO SPACs'!P158</f>
        <v>44153</v>
      </c>
      <c r="H157" s="99">
        <f>'Active and Pre-IPO SPACs'!Q158</f>
        <v>92</v>
      </c>
      <c r="I157" s="100" t="str">
        <f>'Active and Pre-IPO SPACs'!M158</f>
        <v>U: [1/3 W]; W: [1:1, $11.5]</v>
      </c>
    </row>
    <row r="158">
      <c r="A158" s="78" t="str">
        <f>'Active and Pre-IPO SPACs'!A159</f>
        <v>CHPM</v>
      </c>
      <c r="B158" s="95" t="str">
        <f>'Active and Pre-IPO SPACs'!B159</f>
        <v>CHP Merger Corp</v>
      </c>
      <c r="C158" s="95" t="str">
        <f>'Active and Pre-IPO SPACs'!C159</f>
        <v>Searching</v>
      </c>
      <c r="D158" s="91" t="str">
        <f>'Active and Pre-IPO SPACs'!D159</f>
        <v>Healthcare</v>
      </c>
      <c r="E158" s="96" t="str">
        <f>'Active and Pre-IPO SPACs'!E159</f>
        <v/>
      </c>
      <c r="F158" s="97" t="str">
        <f>'Active and Pre-IPO SPACs'!F159</f>
        <v/>
      </c>
      <c r="G158" s="98">
        <f>'Active and Pre-IPO SPACs'!P159</f>
        <v>43790</v>
      </c>
      <c r="H158" s="99">
        <f>'Active and Pre-IPO SPACs'!Q159</f>
        <v>300</v>
      </c>
      <c r="I158" s="100" t="str">
        <f>'Active and Pre-IPO SPACs'!M159</f>
        <v>U: [1/2 W]; W: [1:1, $11.5]</v>
      </c>
    </row>
    <row r="159">
      <c r="A159" s="78" t="str">
        <f>'Active and Pre-IPO SPACs'!A160</f>
        <v>CHWA</v>
      </c>
      <c r="B159" s="95" t="str">
        <f>'Active and Pre-IPO SPACs'!B160</f>
        <v>CHW Acquisition Corp</v>
      </c>
      <c r="C159" s="95" t="str">
        <f>'Active and Pre-IPO SPACs'!C160</f>
        <v>Pre IPO</v>
      </c>
      <c r="D159" s="101" t="str">
        <f>'Active and Pre-IPO SPACs'!D160</f>
        <v>Consumer</v>
      </c>
      <c r="E159" s="96" t="str">
        <f>'Active and Pre-IPO SPACs'!E160</f>
        <v/>
      </c>
      <c r="F159" s="97" t="str">
        <f>'Active and Pre-IPO SPACs'!F160</f>
        <v>Victor Herrero (Fmr CEO, Guess)</v>
      </c>
      <c r="G159" s="98" t="str">
        <f>'Active and Pre-IPO SPACs'!P160</f>
        <v/>
      </c>
      <c r="H159" s="99">
        <f>'Active and Pre-IPO SPACs'!Q160</f>
        <v>100</v>
      </c>
      <c r="I159" s="100" t="str">
        <f>'Active and Pre-IPO SPACs'!M160</f>
        <v>U: [1 W]; W: [2:1, $11.5]</v>
      </c>
    </row>
    <row r="160">
      <c r="A160" s="78" t="str">
        <f>'Active and Pre-IPO SPACs'!A161</f>
        <v>CIIG</v>
      </c>
      <c r="B160" s="95" t="str">
        <f>'Active and Pre-IPO SPACs'!B161</f>
        <v>CIIG Merger Corp. II</v>
      </c>
      <c r="C160" s="95" t="str">
        <f>'Active and Pre-IPO SPACs'!C161</f>
        <v>Pre IPO</v>
      </c>
      <c r="D160" s="101" t="str">
        <f>'Active and Pre-IPO SPACs'!D161</f>
        <v>TMT and Sustainability</v>
      </c>
      <c r="E160" s="96" t="str">
        <f>'Active and Pre-IPO SPACs'!E161</f>
        <v/>
      </c>
      <c r="F160" s="97" t="str">
        <f>'Active and Pre-IPO SPACs'!F161</f>
        <v>Peter Cuneo (Former CEO of Marvel Entertainment and Former CEO of Remington Products)</v>
      </c>
      <c r="G160" s="98" t="str">
        <f>'Active and Pre-IPO SPACs'!P161</f>
        <v/>
      </c>
      <c r="H160" s="99">
        <f>'Active and Pre-IPO SPACs'!Q161</f>
        <v>300</v>
      </c>
      <c r="I160" s="100" t="str">
        <f>'Active and Pre-IPO SPACs'!M161</f>
        <v>U: [1/5 W]; W: [1:1, $11.5]</v>
      </c>
    </row>
    <row r="161">
      <c r="A161" s="78" t="str">
        <f>'Active and Pre-IPO SPACs'!A162</f>
        <v>CLAA</v>
      </c>
      <c r="B161" s="95" t="str">
        <f>'Active and Pre-IPO SPACs'!B162</f>
        <v>Colonnade Acquisition Corp. II</v>
      </c>
      <c r="C161" s="95" t="str">
        <f>'Active and Pre-IPO SPACs'!C162</f>
        <v>Searching (Pre Unit Split)</v>
      </c>
      <c r="D161" s="91" t="str">
        <f>'Active and Pre-IPO SPACs'!D162</f>
        <v/>
      </c>
      <c r="E161" s="96" t="str">
        <f>'Active and Pre-IPO SPACs'!E162</f>
        <v/>
      </c>
      <c r="F161" s="97" t="str">
        <f>'Active and Pre-IPO SPACs'!F162</f>
        <v>Lee Solomon (Partner, Apollo; Director, ADT, Redbox, Cox Media Group)</v>
      </c>
      <c r="G161" s="98">
        <f>'Active and Pre-IPO SPACs'!P162</f>
        <v>44264</v>
      </c>
      <c r="H161" s="99">
        <f>'Active and Pre-IPO SPACs'!Q162</f>
        <v>330</v>
      </c>
      <c r="I161" s="100" t="str">
        <f>'Active and Pre-IPO SPACs'!M162</f>
        <v>U: [1/5 W]; W: [1:1, $11.5]</v>
      </c>
    </row>
    <row r="162">
      <c r="A162" s="78" t="str">
        <f>'Active and Pre-IPO SPACs'!A163</f>
        <v>CLAS</v>
      </c>
      <c r="B162" s="95" t="str">
        <f>'Active and Pre-IPO SPACs'!B163</f>
        <v>Class Acceleration Corp.</v>
      </c>
      <c r="C162" s="95" t="str">
        <f>'Active and Pre-IPO SPACs'!C163</f>
        <v>Searching</v>
      </c>
      <c r="D162" s="91" t="str">
        <f>'Active and Pre-IPO SPACs'!D163</f>
        <v>EdTech, Education</v>
      </c>
      <c r="E162" s="96" t="str">
        <f>'Active and Pre-IPO SPACs'!E163</f>
        <v/>
      </c>
      <c r="F162" s="97" t="str">
        <f>'Active and Pre-IPO SPACs'!F163</f>
        <v>Michael Moe (CEO, GSV; Co-founder/Fmr CEO, ThinkEquity Partners)</v>
      </c>
      <c r="G162" s="98">
        <f>'Active and Pre-IPO SPACs'!P163</f>
        <v>44210</v>
      </c>
      <c r="H162" s="99">
        <f>'Active and Pre-IPO SPACs'!Q163</f>
        <v>258.75</v>
      </c>
      <c r="I162" s="100" t="str">
        <f>'Active and Pre-IPO SPACs'!M163</f>
        <v>U: [1/2 W]; W: [1:1, $11.5]</v>
      </c>
    </row>
    <row r="163">
      <c r="A163" s="78" t="str">
        <f>'Active and Pre-IPO SPACs'!A164</f>
        <v>CLBR</v>
      </c>
      <c r="B163" s="95" t="str">
        <f>'Active and Pre-IPO SPACs'!B164</f>
        <v>Colombier Acquisition Corp.</v>
      </c>
      <c r="C163" s="95" t="str">
        <f>'Active and Pre-IPO SPACs'!C164</f>
        <v>Pre IPO</v>
      </c>
      <c r="D163" s="91" t="str">
        <f>'Active and Pre-IPO SPACs'!D164</f>
        <v/>
      </c>
      <c r="E163" s="96" t="str">
        <f>'Active and Pre-IPO SPACs'!E164</f>
        <v/>
      </c>
      <c r="F163" s="97" t="str">
        <f>'Active and Pre-IPO SPACs'!F164</f>
        <v>Omeed Malik (Founder &amp; CEO of Farvahar Partners and Former Global Head of Hedge Fund Advisory at Bank of America Merrill Lynch), Ryan Kavanaugh (Founder &amp; Former CEO of Relativity Media and Co-founder of Triller), Keri Findley (Senior Managing Director of SuRo Capital, Former Partner at Third Point, Advisor to 8VC, and Director of Clearbanc)</v>
      </c>
      <c r="G163" s="98" t="str">
        <f>'Active and Pre-IPO SPACs'!P164</f>
        <v/>
      </c>
      <c r="H163" s="99">
        <f>'Active and Pre-IPO SPACs'!Q164</f>
        <v>150</v>
      </c>
      <c r="I163" s="100" t="str">
        <f>'Active and Pre-IPO SPACs'!M164</f>
        <v>U: [1/3 W]; W: [1:1, $11.5]</v>
      </c>
    </row>
    <row r="164">
      <c r="A164" s="78" t="str">
        <f>'Active and Pre-IPO SPACs'!A165</f>
        <v>CLIC</v>
      </c>
      <c r="B164" s="95" t="str">
        <f>'Active and Pre-IPO SPACs'!B165</f>
        <v>Climate Real Impact Solutions III Acquisition Corp</v>
      </c>
      <c r="C164" s="95" t="str">
        <f>'Active and Pre-IPO SPACs'!C165</f>
        <v>Pre IPO</v>
      </c>
      <c r="D164" s="91" t="str">
        <f>'Active and Pre-IPO SPACs'!D165</f>
        <v>Carbon avoidance and removal, Sustainability</v>
      </c>
      <c r="E164" s="96" t="str">
        <f>'Active and Pre-IPO SPACs'!E165</f>
        <v/>
      </c>
      <c r="F164" s="97" t="str">
        <f>'Active and Pre-IPO SPACs'!F165</f>
        <v>David Crane (Fmr CEO of IPR, NRG), Beth Comstock, (Fmr CMO/CCO of GE; Director, Nike), Mimi Alemayehou (SVP, Mastercard), PIMCO</v>
      </c>
      <c r="G164" s="98" t="str">
        <f>'Active and Pre-IPO SPACs'!P165</f>
        <v/>
      </c>
      <c r="H164" s="99">
        <f>'Active and Pre-IPO SPACs'!Q165</f>
        <v>300</v>
      </c>
      <c r="I164" s="100" t="str">
        <f>'Active and Pre-IPO SPACs'!M165</f>
        <v>U: [1/5 W]; W: [1:1, $11.5]</v>
      </c>
    </row>
    <row r="165">
      <c r="A165" s="78" t="str">
        <f>'Active and Pre-IPO SPACs'!A166</f>
        <v>CLII</v>
      </c>
      <c r="B165" s="95" t="str">
        <f>'Active and Pre-IPO SPACs'!B166</f>
        <v>Climate Change Crisis Real Impact I Acquisition Corp</v>
      </c>
      <c r="C165" s="95" t="str">
        <f>'Active and Pre-IPO SPACs'!C166</f>
        <v>Definitive Agreement</v>
      </c>
      <c r="D165" s="91" t="str">
        <f>'Active and Pre-IPO SPACs'!D166</f>
        <v>Carbon avoidance and removal, Sustainability</v>
      </c>
      <c r="E165" s="96" t="str">
        <f>'Active and Pre-IPO SPACs'!E166</f>
        <v>EVgo [DA: 01/22/21]</v>
      </c>
      <c r="F165" s="97" t="str">
        <f>'Active and Pre-IPO SPACs'!F166</f>
        <v>David Crane (Fmr CEO of IPR, NRG), Beth Comstock, (Fmr CMO/CCO of GE; Director, Nike), Mary Powell (Fmr CEO, GMP), Mimi Alemayehou (SVP, Mastercard), PIMCO</v>
      </c>
      <c r="G165" s="98">
        <f>'Active and Pre-IPO SPACs'!P166</f>
        <v>44103</v>
      </c>
      <c r="H165" s="99">
        <f>'Active and Pre-IPO SPACs'!Q166</f>
        <v>230</v>
      </c>
      <c r="I165" s="100" t="str">
        <f>'Active and Pre-IPO SPACs'!M166</f>
        <v>U: [1/2 W]; W: [1:1, $11.5]</v>
      </c>
    </row>
    <row r="166">
      <c r="A166" s="78" t="str">
        <f>'Active and Pre-IPO SPACs'!A167</f>
        <v>CLIM</v>
      </c>
      <c r="B166" s="95" t="str">
        <f>'Active and Pre-IPO SPACs'!B167</f>
        <v>Climate Real Impact Solutions II Acquisition Corporation</v>
      </c>
      <c r="C166" s="95" t="str">
        <f>'Active and Pre-IPO SPACs'!C167</f>
        <v>Searching</v>
      </c>
      <c r="D166" s="101" t="str">
        <f>'Active and Pre-IPO SPACs'!D167</f>
        <v>Carbon avoidance and removal, Sustainability</v>
      </c>
      <c r="E166" s="96" t="str">
        <f>'Active and Pre-IPO SPACs'!E167</f>
        <v/>
      </c>
      <c r="F166" s="97" t="str">
        <f>'Active and Pre-IPO SPACs'!F167</f>
        <v>David Crane (Fmr CEO of IPR, NRG), Elizabeth Comstock, (Fmr CMO/CCO of GE; Director, Nike), PIMCO</v>
      </c>
      <c r="G166" s="98">
        <f>'Active and Pre-IPO SPACs'!P167</f>
        <v>44222</v>
      </c>
      <c r="H166" s="99">
        <f>'Active and Pre-IPO SPACs'!Q167</f>
        <v>241.5</v>
      </c>
      <c r="I166" s="100" t="str">
        <f>'Active and Pre-IPO SPACs'!M167</f>
        <v>U: [1/5 W]; W: [1:1, $11.5]</v>
      </c>
    </row>
    <row r="167">
      <c r="A167" s="78" t="str">
        <f>'Active and Pre-IPO SPACs'!A168</f>
        <v>CLOE</v>
      </c>
      <c r="B167" s="95" t="str">
        <f>'Active and Pre-IPO SPACs'!B168</f>
        <v>Clover Leaf Capital Corp.</v>
      </c>
      <c r="C167" s="95" t="str">
        <f>'Active and Pre-IPO SPACs'!C168</f>
        <v>Pre IPO</v>
      </c>
      <c r="D167" s="101" t="str">
        <f>'Active and Pre-IPO SPACs'!D168</f>
        <v>Cannabis</v>
      </c>
      <c r="E167" s="96" t="str">
        <f>'Active and Pre-IPO SPACs'!E168</f>
        <v/>
      </c>
      <c r="F167" s="97" t="str">
        <f>'Active and Pre-IPO SPACs'!F168</f>
        <v/>
      </c>
      <c r="G167" s="98" t="str">
        <f>'Active and Pre-IPO SPACs'!P168</f>
        <v/>
      </c>
      <c r="H167" s="99">
        <f>'Active and Pre-IPO SPACs'!Q168</f>
        <v>125</v>
      </c>
      <c r="I167" s="100" t="str">
        <f>'Active and Pre-IPO SPACs'!M168</f>
        <v>U: [1 W]; W: [1:1, $11.5]</v>
      </c>
    </row>
    <row r="168">
      <c r="A168" s="78" t="str">
        <f>'Active and Pre-IPO SPACs'!A169</f>
        <v>CLRM</v>
      </c>
      <c r="B168" s="95" t="str">
        <f>'Active and Pre-IPO SPACs'!B169</f>
        <v>Clarim Acquisition Corp.</v>
      </c>
      <c r="C168" s="95" t="str">
        <f>'Active and Pre-IPO SPACs'!C169</f>
        <v>Searching</v>
      </c>
      <c r="D168" s="91" t="str">
        <f>'Active and Pre-IPO SPACs'!D169</f>
        <v>Consumer e-commerce</v>
      </c>
      <c r="E168" s="96" t="str">
        <f>'Active and Pre-IPO SPACs'!E169</f>
        <v/>
      </c>
      <c r="F168" s="102" t="str">
        <f>'Active and Pre-IPO SPACs'!F169</f>
        <v>James McCann (CEO, 1-800-Flowers.com), Jaymin Patel (Fmr CEO, Brightstar), </v>
      </c>
      <c r="G168" s="98">
        <f>'Active and Pre-IPO SPACs'!P169</f>
        <v>44224</v>
      </c>
      <c r="H168" s="99">
        <f>'Active and Pre-IPO SPACs'!Q169</f>
        <v>287.5</v>
      </c>
      <c r="I168" s="100" t="str">
        <f>'Active and Pre-IPO SPACs'!M169</f>
        <v>U: [1/3 W]; W: [1:1, $11.5]</v>
      </c>
    </row>
    <row r="169">
      <c r="A169" s="78" t="str">
        <f>'Active and Pre-IPO SPACs'!A170</f>
        <v>CMII</v>
      </c>
      <c r="B169" s="95" t="str">
        <f>'Active and Pre-IPO SPACs'!B170</f>
        <v>CM Life Sciences II Inc.</v>
      </c>
      <c r="C169" s="95" t="str">
        <f>'Active and Pre-IPO SPACs'!C170</f>
        <v>Definitive Agreement (Pre Unit Split)</v>
      </c>
      <c r="D169" s="101" t="str">
        <f>'Active and Pre-IPO SPACs'!D170</f>
        <v>Life Sciences, Healthcare</v>
      </c>
      <c r="E169" s="96" t="str">
        <f>'Active and Pre-IPO SPACs'!E170</f>
        <v>SomaLogic [DA: 03/29/21]</v>
      </c>
      <c r="F169" s="97" t="str">
        <f>'Active and Pre-IPO SPACs'!F170</f>
        <v>Keith Meister (Founder, Corvex Management; Fmr CEO, Icahn Enterprises; Director, MGM; Fmr Director, Yum! Brands, &amp; Motorola)</v>
      </c>
      <c r="G169" s="98">
        <f>'Active and Pre-IPO SPACs'!P170</f>
        <v>44249</v>
      </c>
      <c r="H169" s="99">
        <f>'Active and Pre-IPO SPACs'!Q170</f>
        <v>276</v>
      </c>
      <c r="I169" s="100" t="str">
        <f>'Active and Pre-IPO SPACs'!M170</f>
        <v>U: [1/5 W]; W: [1:1, $11.5]</v>
      </c>
    </row>
    <row r="170">
      <c r="A170" s="78" t="str">
        <f>'Active and Pre-IPO SPACs'!A171</f>
        <v>CMLF</v>
      </c>
      <c r="B170" s="95" t="str">
        <f>'Active and Pre-IPO SPACs'!B171</f>
        <v>CM Life Sciences, Inc.</v>
      </c>
      <c r="C170" s="95" t="str">
        <f>'Active and Pre-IPO SPACs'!C171</f>
        <v>Definitive Agreement</v>
      </c>
      <c r="D170" s="91" t="str">
        <f>'Active and Pre-IPO SPACs'!D171</f>
        <v>Life Sciences, Healthcare</v>
      </c>
      <c r="E170" s="96" t="str">
        <f>'Active and Pre-IPO SPACs'!E171</f>
        <v>Sema4 [DA: 02/10/21]</v>
      </c>
      <c r="F170" s="97" t="str">
        <f>'Active and Pre-IPO SPACs'!F171</f>
        <v>Keith Meister (Founder, Corvex Management, Fmr CEO, Icahn Enterprises; Director, MGM; Fmr Director, Yum! Brands, Motorola)</v>
      </c>
      <c r="G170" s="98">
        <f>'Active and Pre-IPO SPACs'!P171</f>
        <v>44075</v>
      </c>
      <c r="H170" s="99">
        <f>'Active and Pre-IPO SPACs'!Q171</f>
        <v>442.75</v>
      </c>
      <c r="I170" s="100" t="str">
        <f>'Active and Pre-IPO SPACs'!M171</f>
        <v>U: [1/3 W]; W: [1:1, $11.5]</v>
      </c>
    </row>
    <row r="171">
      <c r="A171" s="78" t="str">
        <f>'Active and Pre-IPO SPACs'!A172</f>
        <v>CMLT</v>
      </c>
      <c r="B171" s="95" t="str">
        <f>'Active and Pre-IPO SPACs'!B172</f>
        <v>CM Life Sciences III Inc.</v>
      </c>
      <c r="C171" s="95" t="str">
        <f>'Active and Pre-IPO SPACs'!C172</f>
        <v>Searching (Pre Unit Split)</v>
      </c>
      <c r="D171" s="101" t="str">
        <f>'Active and Pre-IPO SPACs'!D172</f>
        <v>Life Sciences, Healthcare</v>
      </c>
      <c r="E171" s="96" t="str">
        <f>'Active and Pre-IPO SPACs'!E172</f>
        <v/>
      </c>
      <c r="F171" s="97" t="str">
        <f>'Active and Pre-IPO SPACs'!F172</f>
        <v>Keith Meister (Founder of Corvex Management, Former CEO of Icahn Enterprises, Director of MGM Resorts International, and Former Director of Yum! Brands &amp; Motorola)</v>
      </c>
      <c r="G171" s="98">
        <f>'Active and Pre-IPO SPACs'!P172</f>
        <v>44293</v>
      </c>
      <c r="H171" s="99">
        <f>'Active and Pre-IPO SPACs'!Q172</f>
        <v>552</v>
      </c>
      <c r="I171" s="100" t="str">
        <f>'Active and Pre-IPO SPACs'!M172</f>
        <v>U: [1/5 W]; W: [1:1, $11.5]</v>
      </c>
    </row>
    <row r="172">
      <c r="A172" s="78" t="str">
        <f>'Active and Pre-IPO SPACs'!A173</f>
        <v>CNAQ</v>
      </c>
      <c r="B172" s="95" t="str">
        <f>'Active and Pre-IPO SPACs'!B173</f>
        <v>Chardan Nextech Acquisiton Corp</v>
      </c>
      <c r="C172" s="95" t="str">
        <f>'Active and Pre-IPO SPACs'!C173</f>
        <v>Pre IPO</v>
      </c>
      <c r="D172" s="101" t="str">
        <f>'Active and Pre-IPO SPACs'!D173</f>
        <v>Healthtech, Fintech</v>
      </c>
      <c r="E172" s="96" t="str">
        <f>'Active and Pre-IPO SPACs'!E173</f>
        <v/>
      </c>
      <c r="F172" s="97" t="str">
        <f>'Active and Pre-IPO SPACs'!F173</f>
        <v>Kerry Propper (Co-founder/Fmr CEO, Chardan), Steven Urbach (Co-founder/CEO, Chardan)</v>
      </c>
      <c r="G172" s="98" t="str">
        <f>'Active and Pre-IPO SPACs'!P173</f>
        <v/>
      </c>
      <c r="H172" s="99">
        <f>'Active and Pre-IPO SPACs'!Q173</f>
        <v>200</v>
      </c>
      <c r="I172" s="100" t="str">
        <f>'Active and Pre-IPO SPACs'!M173</f>
        <v>U: [1/3 W]; W: [1:1, $11.5]</v>
      </c>
    </row>
    <row r="173">
      <c r="A173" s="78" t="str">
        <f>'Active and Pre-IPO SPACs'!A174</f>
        <v>CND</v>
      </c>
      <c r="B173" s="95" t="str">
        <f>'Active and Pre-IPO SPACs'!B174</f>
        <v>Concord Acquisition Corp</v>
      </c>
      <c r="C173" s="95" t="str">
        <f>'Active and Pre-IPO SPACs'!C174</f>
        <v>Searching</v>
      </c>
      <c r="D173" s="91" t="str">
        <f>'Active and Pre-IPO SPACs'!D174</f>
        <v>Financial Services, Fintech</v>
      </c>
      <c r="E173" s="96" t="str">
        <f>'Active and Pre-IPO SPACs'!E174</f>
        <v/>
      </c>
      <c r="F173" s="97" t="str">
        <f>'Active and Pre-IPO SPACs'!F174</f>
        <v>Bob Diamond (Fmr CEO, Barclays), Thomas King (Fmr CEO of Investment Banking, Barclays), Larry Leibowitz (Director, Cowen)</v>
      </c>
      <c r="G173" s="98">
        <f>'Active and Pre-IPO SPACs'!P174</f>
        <v>44172</v>
      </c>
      <c r="H173" s="99">
        <f>'Active and Pre-IPO SPACs'!Q174</f>
        <v>276</v>
      </c>
      <c r="I173" s="100" t="str">
        <f>'Active and Pre-IPO SPACs'!M174</f>
        <v>U: [1/2 W]; W: [1:1, $11.5]</v>
      </c>
    </row>
    <row r="174">
      <c r="A174" s="78" t="str">
        <f>'Active and Pre-IPO SPACs'!A175</f>
        <v>CNDA</v>
      </c>
      <c r="B174" s="95" t="str">
        <f>'Active and Pre-IPO SPACs'!B175</f>
        <v>Concord Acquisition Corp II</v>
      </c>
      <c r="C174" s="95" t="str">
        <f>'Active and Pre-IPO SPACs'!C175</f>
        <v>Pre IPO</v>
      </c>
      <c r="D174" s="91" t="str">
        <f>'Active and Pre-IPO SPACs'!D175</f>
        <v>Financial Services, Fintech</v>
      </c>
      <c r="E174" s="96" t="str">
        <f>'Active and Pre-IPO SPACs'!E175</f>
        <v/>
      </c>
      <c r="F174" s="97" t="str">
        <f>'Active and Pre-IPO SPACs'!F175</f>
        <v>Bob Diamond (Fmr CEO, Barclays), Thomas King (Fmr CEO of Investment Banking, Barclays), Larry Leibowitz (Director, Cowen)</v>
      </c>
      <c r="G174" s="98" t="str">
        <f>'Active and Pre-IPO SPACs'!P175</f>
        <v/>
      </c>
      <c r="H174" s="99">
        <f>'Active and Pre-IPO SPACs'!Q175</f>
        <v>250</v>
      </c>
      <c r="I174" s="100" t="str">
        <f>'Active and Pre-IPO SPACs'!M175</f>
        <v>U: [1/3 W]; W: [1:1, $11.5]</v>
      </c>
    </row>
    <row r="175">
      <c r="A175" s="78" t="str">
        <f>'Active and Pre-IPO SPACs'!A176</f>
        <v>CNDB</v>
      </c>
      <c r="B175" s="95" t="str">
        <f>'Active and Pre-IPO SPACs'!B176</f>
        <v>Concord Acquisition Corp III</v>
      </c>
      <c r="C175" s="95" t="str">
        <f>'Active and Pre-IPO SPACs'!C176</f>
        <v>Pre IPO</v>
      </c>
      <c r="D175" s="91" t="str">
        <f>'Active and Pre-IPO SPACs'!D176</f>
        <v>Financial Services, Fintech</v>
      </c>
      <c r="E175" s="96" t="str">
        <f>'Active and Pre-IPO SPACs'!E176</f>
        <v/>
      </c>
      <c r="F175" s="97" t="str">
        <f>'Active and Pre-IPO SPACs'!F176</f>
        <v>Bob Diamond (Fmr CEO, Barclays), Thomas King (Fmr CEO of Investment Banking, Barclays), Larry Leibowitz (Director, Cowen)</v>
      </c>
      <c r="G175" s="98" t="str">
        <f>'Active and Pre-IPO SPACs'!P176</f>
        <v/>
      </c>
      <c r="H175" s="99">
        <f>'Active and Pre-IPO SPACs'!Q176</f>
        <v>250</v>
      </c>
      <c r="I175" s="100" t="str">
        <f>'Active and Pre-IPO SPACs'!M176</f>
        <v>U: [1/3 W]; W: [1:1, $11.5]</v>
      </c>
    </row>
    <row r="176">
      <c r="A176" s="78" t="str">
        <f>'Active and Pre-IPO SPACs'!A177</f>
        <v>CNTQ</v>
      </c>
      <c r="B176" s="95" t="str">
        <f>'Active and Pre-IPO SPACs'!B177</f>
        <v>Chardan NexTech Acquisition 2 Corp.</v>
      </c>
      <c r="C176" s="95" t="str">
        <f>'Active and Pre-IPO SPACs'!C177</f>
        <v>Pre IPO</v>
      </c>
      <c r="D176" s="101" t="str">
        <f>'Active and Pre-IPO SPACs'!D177</f>
        <v>Healthtech, Fintech</v>
      </c>
      <c r="E176" s="96" t="str">
        <f>'Active and Pre-IPO SPACs'!E177</f>
        <v/>
      </c>
      <c r="F176" s="97" t="str">
        <f>'Active and Pre-IPO SPACs'!F177</f>
        <v>Kerry Propper (Co-founder &amp; Former CEO of Chardan), Steven Urbach (Co-founder &amp; CEO of Chardan)</v>
      </c>
      <c r="G176" s="98" t="str">
        <f>'Active and Pre-IPO SPACs'!P177</f>
        <v/>
      </c>
      <c r="H176" s="99">
        <f>'Active and Pre-IPO SPACs'!Q177</f>
        <v>100</v>
      </c>
      <c r="I176" s="100" t="str">
        <f>'Active and Pre-IPO SPACs'!M177</f>
        <v>U: [1/3 W]; W: [1:1, $11.5]</v>
      </c>
    </row>
    <row r="177">
      <c r="A177" s="78" t="str">
        <f>'Active and Pre-IPO SPACs'!A178</f>
        <v>COLI</v>
      </c>
      <c r="B177" s="95" t="str">
        <f>'Active and Pre-IPO SPACs'!B178</f>
        <v>Colicity Inc.</v>
      </c>
      <c r="C177" s="95" t="str">
        <f>'Active and Pre-IPO SPACs'!C178</f>
        <v>Searching (Pre Unit Split)</v>
      </c>
      <c r="D177" s="101" t="str">
        <f>'Active and Pre-IPO SPACs'!D178</f>
        <v>TMT (Tech, Media, Telecom)</v>
      </c>
      <c r="E177" s="96" t="str">
        <f>'Active and Pre-IPO SPACs'!E178</f>
        <v/>
      </c>
      <c r="F177" s="97" t="str">
        <f>'Active and Pre-IPO SPACs'!F178</f>
        <v>Craig McCaw (Founder of McCaw Cellular and Clearwire Corp)</v>
      </c>
      <c r="G177" s="98">
        <f>'Active and Pre-IPO SPACs'!P178</f>
        <v>44251</v>
      </c>
      <c r="H177" s="99">
        <f>'Active and Pre-IPO SPACs'!Q178</f>
        <v>345</v>
      </c>
      <c r="I177" s="100" t="str">
        <f>'Active and Pre-IPO SPACs'!M178</f>
        <v>U: [1/5 W]; W: [1:1, $11.5]</v>
      </c>
    </row>
    <row r="178">
      <c r="A178" s="78" t="str">
        <f>'Active and Pre-IPO SPACs'!A179</f>
        <v>CONX</v>
      </c>
      <c r="B178" s="95" t="str">
        <f>'Active and Pre-IPO SPACs'!B179</f>
        <v>CONX Corp.</v>
      </c>
      <c r="C178" s="95" t="str">
        <f>'Active and Pre-IPO SPACs'!C179</f>
        <v>Searching</v>
      </c>
      <c r="D178" s="91" t="str">
        <f>'Active and Pre-IPO SPACs'!D179</f>
        <v>TMT (Tech, Media, Telecom)</v>
      </c>
      <c r="E178" s="96" t="str">
        <f>'Active and Pre-IPO SPACs'!E179</f>
        <v/>
      </c>
      <c r="F178" s="97" t="str">
        <f>'Active and Pre-IPO SPACs'!F179</f>
        <v>Charles Ergen (Co-founder, Fmr CEO and Exec Chairman, DISH)</v>
      </c>
      <c r="G178" s="98">
        <f>'Active and Pre-IPO SPACs'!P179</f>
        <v>44133</v>
      </c>
      <c r="H178" s="99">
        <f>'Active and Pre-IPO SPACs'!Q179</f>
        <v>750</v>
      </c>
      <c r="I178" s="100" t="str">
        <f>'Active and Pre-IPO SPACs'!M179</f>
        <v>U: [1/4 W]; W: [1:1, $11.5]</v>
      </c>
    </row>
    <row r="179">
      <c r="A179" s="78" t="str">
        <f>'Active and Pre-IPO SPACs'!A180</f>
        <v>COOL</v>
      </c>
      <c r="B179" s="95" t="str">
        <f>'Active and Pre-IPO SPACs'!B180</f>
        <v>Corner Growth Acquisition Corp.</v>
      </c>
      <c r="C179" s="95" t="str">
        <f>'Active and Pre-IPO SPACs'!C180</f>
        <v>Searching</v>
      </c>
      <c r="D179" s="91" t="str">
        <f>'Active and Pre-IPO SPACs'!D180</f>
        <v>Tech (US &amp; other developed countries)</v>
      </c>
      <c r="E179" s="96" t="str">
        <f>'Active and Pre-IPO SPACs'!E180</f>
        <v/>
      </c>
      <c r="F179" s="97" t="str">
        <f>'Active and Pre-IPO SPACs'!F180</f>
        <v>John Cadeddu (GP/Managing Director, Corner Ventures/DAG Ventures), Alexandre Balkanski (CEO, Picarro; Fmr GP, Benchmark Capital), Jason Park (CFO, DraftKings)</v>
      </c>
      <c r="G179" s="98">
        <f>'Active and Pre-IPO SPACs'!P180</f>
        <v>44181</v>
      </c>
      <c r="H179" s="99">
        <f>'Active and Pre-IPO SPACs'!Q180</f>
        <v>400</v>
      </c>
      <c r="I179" s="100" t="str">
        <f>'Active and Pre-IPO SPACs'!M180</f>
        <v>U: [1/3 W]; W: [1:1, $11.5]</v>
      </c>
    </row>
    <row r="180">
      <c r="A180" s="78" t="str">
        <f>'Active and Pre-IPO SPACs'!A181</f>
        <v>CORS</v>
      </c>
      <c r="B180" s="95" t="str">
        <f>'Active and Pre-IPO SPACs'!B181</f>
        <v>Corsair Partnering Corp</v>
      </c>
      <c r="C180" s="95" t="str">
        <f>'Active and Pre-IPO SPACs'!C181</f>
        <v>Pre IPO</v>
      </c>
      <c r="D180" s="91" t="str">
        <f>'Active and Pre-IPO SPACs'!D181</f>
        <v/>
      </c>
      <c r="E180" s="96" t="str">
        <f>'Active and Pre-IPO SPACs'!E181</f>
        <v/>
      </c>
      <c r="F180" s="97" t="str">
        <f>'Active and Pre-IPO SPACs'!F181</f>
        <v/>
      </c>
      <c r="G180" s="98" t="str">
        <f>'Active and Pre-IPO SPACs'!P181</f>
        <v/>
      </c>
      <c r="H180" s="99">
        <f>'Active and Pre-IPO SPACs'!Q181</f>
        <v>350</v>
      </c>
      <c r="I180" s="100" t="str">
        <f>'Active and Pre-IPO SPACs'!M181</f>
        <v>U: [1/4 W]; W: [1:1, $11.5]</v>
      </c>
    </row>
    <row r="181">
      <c r="A181" s="78" t="str">
        <f>'Active and Pre-IPO SPACs'!A182</f>
        <v>COVA</v>
      </c>
      <c r="B181" s="95" t="str">
        <f>'Active and Pre-IPO SPACs'!B182</f>
        <v>Crescent Cove Acquisition Corp.
</v>
      </c>
      <c r="C181" s="95" t="str">
        <f>'Active and Pre-IPO SPACs'!C182</f>
        <v>Searching</v>
      </c>
      <c r="D181" s="91" t="str">
        <f>'Active and Pre-IPO SPACs'!D182</f>
        <v>Tech, Southeast Asia or US</v>
      </c>
      <c r="E181" s="96" t="str">
        <f>'Active and Pre-IPO SPACs'!E182</f>
        <v/>
      </c>
      <c r="F181" s="97" t="str">
        <f>'Active and Pre-IPO SPACs'!F182</f>
        <v>Advisor: Austin Russell (Founder/CEO, Luminar Technologies)</v>
      </c>
      <c r="G181" s="98">
        <f>'Active and Pre-IPO SPACs'!P182</f>
        <v>44231</v>
      </c>
      <c r="H181" s="99">
        <f>'Active and Pre-IPO SPACs'!Q182</f>
        <v>300</v>
      </c>
      <c r="I181" s="100" t="str">
        <f>'Active and Pre-IPO SPACs'!M182</f>
        <v>U: [1/2 W]; W: [1:1, $11.5]</v>
      </c>
    </row>
    <row r="182">
      <c r="A182" s="78" t="str">
        <f>'Active and Pre-IPO SPACs'!A183</f>
        <v>CPAR</v>
      </c>
      <c r="B182" s="95" t="str">
        <f>'Active and Pre-IPO SPACs'!B183</f>
        <v>Catalyst Partners Acquisition Corp.</v>
      </c>
      <c r="C182" s="95" t="str">
        <f>'Active and Pre-IPO SPACs'!C183</f>
        <v>Pre IPO</v>
      </c>
      <c r="D182" s="101" t="str">
        <f>'Active and Pre-IPO SPACs'!D183</f>
        <v>Enterprise Software</v>
      </c>
      <c r="E182" s="96" t="str">
        <f>'Active and Pre-IPO SPACs'!E183</f>
        <v/>
      </c>
      <c r="F182" s="97" t="str">
        <f>'Active and Pre-IPO SPACs'!F183</f>
        <v>General Catalyst, Dr. James Cash  (Senior Associate Dean, Emeritus, of the Harvard Business School, Director of Chubb, Advisor to General Catalyst Partners, Former Director of Walmart, GE, Microsoft, and Sprint), Paul Sagan  (Former CEO of Akamai Technologies and Director of Moderna and VMware), Robin Washington  (Former CFO of Gilead Sciences, Director of Alphabet, Honeywell International, Salesforce.com, and Veritiv), Ken Chenault (Chairman and Managing Director of General Catalyst, Former Chairman and CEO of American Express, Director of Airbnb and Berkshire Hathaway, Former Director of IBM and Procter &amp; Gamble), Steven Reinemund  (Former Executive Chairman and CEO of PepsiCo, Director of Vertiv, Walmart, Chick-fil-A, and Former Director of Johnson &amp; Johnson, American Express, Exxon Mobil, and Marriott International)</v>
      </c>
      <c r="G182" s="98" t="str">
        <f>'Active and Pre-IPO SPACs'!P183</f>
        <v/>
      </c>
      <c r="H182" s="99">
        <f>'Active and Pre-IPO SPACs'!Q183</f>
        <v>400</v>
      </c>
      <c r="I182" s="100" t="str">
        <f>'Active and Pre-IPO SPACs'!M183</f>
        <v>U: [1/5 W]; W: [1:1, $11.5]</v>
      </c>
    </row>
    <row r="183">
      <c r="A183" s="78" t="str">
        <f>'Active and Pre-IPO SPACs'!A184</f>
        <v>CPSR</v>
      </c>
      <c r="B183" s="95" t="str">
        <f>'Active and Pre-IPO SPACs'!B184</f>
        <v>Capstar Special Purpose Acquisition</v>
      </c>
      <c r="C183" s="95" t="str">
        <f>'Active and Pre-IPO SPACs'!C184</f>
        <v>Searching</v>
      </c>
      <c r="D183" s="91" t="str">
        <f>'Active and Pre-IPO SPACs'!D184</f>
        <v>Healthcare, Tech, Media, Telecom</v>
      </c>
      <c r="E183" s="96" t="str">
        <f>'Active and Pre-IPO SPACs'!E184</f>
        <v/>
      </c>
      <c r="F183" s="97" t="str">
        <f>'Active and Pre-IPO SPACs'!F184</f>
        <v/>
      </c>
      <c r="G183" s="98">
        <f>'Active and Pre-IPO SPACs'!P184</f>
        <v>44014</v>
      </c>
      <c r="H183" s="99">
        <f>'Active and Pre-IPO SPACs'!Q184</f>
        <v>276</v>
      </c>
      <c r="I183" s="100" t="str">
        <f>'Active and Pre-IPO SPACs'!M184</f>
        <v>U: [1/2 W]; W: [1:1, $11.5]</v>
      </c>
    </row>
    <row r="184">
      <c r="A184" s="78" t="str">
        <f>'Active and Pre-IPO SPACs'!A185</f>
        <v>CPTK</v>
      </c>
      <c r="B184" s="95" t="str">
        <f>'Active and Pre-IPO SPACs'!B185</f>
        <v>Crown PropTech Acquisitions</v>
      </c>
      <c r="C184" s="95" t="str">
        <f>'Active and Pre-IPO SPACs'!C185</f>
        <v>Searching</v>
      </c>
      <c r="D184" s="91" t="str">
        <f>'Active and Pre-IPO SPACs'!D185</f>
        <v>Real Estate Tech</v>
      </c>
      <c r="E184" s="96" t="str">
        <f>'Active and Pre-IPO SPACs'!E185</f>
        <v/>
      </c>
      <c r="F184" s="97" t="str">
        <f>'Active and Pre-IPO SPACs'!F185</f>
        <v>Stephen Siegel (Chairman Global Brokerage, CBRE)</v>
      </c>
      <c r="G184" s="98">
        <f>'Active and Pre-IPO SPACs'!P185</f>
        <v>44235</v>
      </c>
      <c r="H184" s="99">
        <f>'Active and Pre-IPO SPACs'!Q185</f>
        <v>240</v>
      </c>
      <c r="I184" s="100" t="str">
        <f>'Active and Pre-IPO SPACs'!M185</f>
        <v>U: [1/3 W]; W: [1:1, $11.5]</v>
      </c>
    </row>
    <row r="185">
      <c r="A185" s="78" t="str">
        <f>'Active and Pre-IPO SPACs'!A186</f>
        <v>CPUH</v>
      </c>
      <c r="B185" s="95" t="str">
        <f>'Active and Pre-IPO SPACs'!B186</f>
        <v>Compute Health Acquisition Corp.</v>
      </c>
      <c r="C185" s="95" t="str">
        <f>'Active and Pre-IPO SPACs'!C186</f>
        <v>Searching</v>
      </c>
      <c r="D185" s="91" t="str">
        <f>'Active and Pre-IPO SPACs'!D186</f>
        <v>Healthcare, Healthcare Tech (Computational / AI)</v>
      </c>
      <c r="E185" s="96" t="str">
        <f>'Active and Pre-IPO SPACs'!E186</f>
        <v/>
      </c>
      <c r="F185" s="97" t="str">
        <f>'Active and Pre-IPO SPACs'!F186</f>
        <v>Omar Ishrak (Chairman, Intel; Fmr CEO, Medtronic; Fmr CEO, GE Healthcare), Joshua Fink (MP, Ophir Holdings; Sr Advisor, SoftBank Investment Advisors; Advisor, 8VC)</v>
      </c>
      <c r="G185" s="98">
        <f>'Active and Pre-IPO SPACs'!P186</f>
        <v>44231</v>
      </c>
      <c r="H185" s="99">
        <f>'Active and Pre-IPO SPACs'!Q186</f>
        <v>862.5</v>
      </c>
      <c r="I185" s="100" t="str">
        <f>'Active and Pre-IPO SPACs'!M186</f>
        <v>U: [1/4 W]; W: [1:1, $11.5]</v>
      </c>
    </row>
    <row r="186">
      <c r="A186" s="78" t="str">
        <f>'Active and Pre-IPO SPACs'!A187</f>
        <v>CRHC</v>
      </c>
      <c r="B186" s="95" t="str">
        <f>'Active and Pre-IPO SPACs'!B187</f>
        <v>Cohn Robbins Holdings Corp.</v>
      </c>
      <c r="C186" s="95" t="str">
        <f>'Active and Pre-IPO SPACs'!C187</f>
        <v>Searching</v>
      </c>
      <c r="D186" s="91" t="str">
        <f>'Active and Pre-IPO SPACs'!D187</f>
        <v/>
      </c>
      <c r="E186" s="96" t="str">
        <f>'Active and Pre-IPO SPACs'!E187</f>
        <v/>
      </c>
      <c r="F186" s="97" t="str">
        <f>'Active and Pre-IPO SPACs'!F187</f>
        <v>Gary Cohn (Former COO, Goldman Sachs; Former Director of the National Economic Council), Clifton Robbins</v>
      </c>
      <c r="G186" s="98">
        <f>'Active and Pre-IPO SPACs'!P187</f>
        <v>44082</v>
      </c>
      <c r="H186" s="99">
        <f>'Active and Pre-IPO SPACs'!Q187</f>
        <v>828</v>
      </c>
      <c r="I186" s="100" t="str">
        <f>'Active and Pre-IPO SPACs'!M187</f>
        <v>U: [1/3 W]; W: [1:1, $11.5]</v>
      </c>
    </row>
    <row r="187">
      <c r="A187" s="78" t="str">
        <f>'Active and Pre-IPO SPACs'!A188</f>
        <v>CRSA</v>
      </c>
      <c r="B187" s="95" t="str">
        <f>'Active and Pre-IPO SPACs'!B188</f>
        <v>Crescent Acquisition Corp</v>
      </c>
      <c r="C187" s="95" t="str">
        <f>'Active and Pre-IPO SPACs'!C188</f>
        <v>Definitive Agreement</v>
      </c>
      <c r="D187" s="91" t="str">
        <f>'Active and Pre-IPO SPACs'!D188</f>
        <v/>
      </c>
      <c r="E187" s="96" t="str">
        <f>'Active and Pre-IPO SPACs'!E188</f>
        <v>LiveVox [DA: 01/14/21]</v>
      </c>
      <c r="F187" s="97" t="str">
        <f>'Active and Pre-IPO SPACs'!F188</f>
        <v/>
      </c>
      <c r="G187" s="98">
        <f>'Active and Pre-IPO SPACs'!P188</f>
        <v>43532</v>
      </c>
      <c r="H187" s="99">
        <f>'Active and Pre-IPO SPACs'!Q188</f>
        <v>250</v>
      </c>
      <c r="I187" s="100" t="str">
        <f>'Active and Pre-IPO SPACs'!M188</f>
        <v>U: [1/2 W]; W: [1:1, $11.5]</v>
      </c>
    </row>
    <row r="188">
      <c r="A188" s="78" t="str">
        <f>'Active and Pre-IPO SPACs'!A189</f>
        <v>CRU</v>
      </c>
      <c r="B188" s="95" t="str">
        <f>'Active and Pre-IPO SPACs'!B189</f>
        <v>Crucible Acquisition Corporation</v>
      </c>
      <c r="C188" s="95" t="str">
        <f>'Active and Pre-IPO SPACs'!C189</f>
        <v>Searching</v>
      </c>
      <c r="D188" s="91" t="str">
        <f>'Active and Pre-IPO SPACs'!D189</f>
        <v>Software Tech (Focus in Cloud-based recurring revenue)</v>
      </c>
      <c r="E188" s="96" t="str">
        <f>'Active and Pre-IPO SPACs'!E189</f>
        <v/>
      </c>
      <c r="F188" s="97" t="str">
        <f>'Active and Pre-IPO SPACs'!F189</f>
        <v>Brad Feld (Founding Partner, Foundry Group; Co-founder, Techstars)</v>
      </c>
      <c r="G188" s="98">
        <f>'Active and Pre-IPO SPACs'!P189</f>
        <v>44201</v>
      </c>
      <c r="H188" s="99">
        <f>'Active and Pre-IPO SPACs'!Q189</f>
        <v>258.75</v>
      </c>
      <c r="I188" s="100" t="str">
        <f>'Active and Pre-IPO SPACs'!M189</f>
        <v>U: [1/3 W]; W: [1:1, $11.5]</v>
      </c>
    </row>
    <row r="189">
      <c r="A189" s="78" t="str">
        <f>'Active and Pre-IPO SPACs'!A190</f>
        <v>CRUA</v>
      </c>
      <c r="B189" s="95" t="str">
        <f>'Active and Pre-IPO SPACs'!B190</f>
        <v>Crucible Acquisition Corp. II</v>
      </c>
      <c r="C189" s="95" t="str">
        <f>'Active and Pre-IPO SPACs'!C190</f>
        <v>Pre IPO</v>
      </c>
      <c r="D189" s="91" t="str">
        <f>'Active and Pre-IPO SPACs'!D190</f>
        <v>Software Tech</v>
      </c>
      <c r="E189" s="96" t="str">
        <f>'Active and Pre-IPO SPACs'!E190</f>
        <v/>
      </c>
      <c r="F189" s="97" t="str">
        <f>'Active and Pre-IPO SPACs'!F190</f>
        <v>Brad Feld (Founding Partner of Foundry Group and Co-founder of Techstars)</v>
      </c>
      <c r="G189" s="98" t="str">
        <f>'Active and Pre-IPO SPACs'!P190</f>
        <v/>
      </c>
      <c r="H189" s="99">
        <f>'Active and Pre-IPO SPACs'!Q190</f>
        <v>200</v>
      </c>
      <c r="I189" s="100" t="str">
        <f>'Active and Pre-IPO SPACs'!M190</f>
        <v>U: [1/4 W]; W: [1:1, $11.5]</v>
      </c>
    </row>
    <row r="190">
      <c r="A190" s="78" t="str">
        <f>'Active and Pre-IPO SPACs'!A191</f>
        <v>CRUB</v>
      </c>
      <c r="B190" s="95" t="str">
        <f>'Active and Pre-IPO SPACs'!B191</f>
        <v>Crucible Acquisition Corp. III</v>
      </c>
      <c r="C190" s="95" t="str">
        <f>'Active and Pre-IPO SPACs'!C191</f>
        <v>Pre IPO</v>
      </c>
      <c r="D190" s="101" t="str">
        <f>'Active and Pre-IPO SPACs'!D191</f>
        <v>Software Tech</v>
      </c>
      <c r="E190" s="96" t="str">
        <f>'Active and Pre-IPO SPACs'!E191</f>
        <v/>
      </c>
      <c r="F190" s="97" t="str">
        <f>'Active and Pre-IPO SPACs'!F191</f>
        <v>Brad Feld (Founding Partner of Foundry Group and Co-founder of Techstars), Tina Sharkey (Co-founder and Former CEO of Brandless, Director of PBS, and Former Director of HomeAway)</v>
      </c>
      <c r="G190" s="98" t="str">
        <f>'Active and Pre-IPO SPACs'!P191</f>
        <v/>
      </c>
      <c r="H190" s="99">
        <f>'Active and Pre-IPO SPACs'!Q191</f>
        <v>350</v>
      </c>
      <c r="I190" s="100" t="str">
        <f>'Active and Pre-IPO SPACs'!M191</f>
        <v>U: [1/4 W]; W: [1:1, $11.5]</v>
      </c>
    </row>
    <row r="191">
      <c r="A191" s="78" t="str">
        <f>'Active and Pre-IPO SPACs'!A192</f>
        <v>CRZN</v>
      </c>
      <c r="B191" s="95" t="str">
        <f>'Active and Pre-IPO SPACs'!B192</f>
        <v>Corazon Capital V838 Monoceros Corp</v>
      </c>
      <c r="C191" s="95" t="str">
        <f>'Active and Pre-IPO SPACs'!C192</f>
        <v>Searching (Pre Unit Split)</v>
      </c>
      <c r="D191" s="101" t="str">
        <f>'Active and Pre-IPO SPACs'!D192</f>
        <v>Consumer Tech</v>
      </c>
      <c r="E191" s="96" t="str">
        <f>'Active and Pre-IPO SPACs'!E192</f>
        <v/>
      </c>
      <c r="F191" s="97" t="str">
        <f>'Active and Pre-IPO SPACs'!F192</f>
        <v>Sam Yagan (CEO, ShopRunner; Fmr Vice Chairman, Match Group; Co-founder, OkCupid), Steve Farsht (Director, TradingView), Phil Schwarz (Fmr CMO, Tinder)</v>
      </c>
      <c r="G191" s="98">
        <f>'Active and Pre-IPO SPACs'!P192</f>
        <v>44278</v>
      </c>
      <c r="H191" s="99">
        <f>'Active and Pre-IPO SPACs'!Q192</f>
        <v>200</v>
      </c>
      <c r="I191" s="100" t="str">
        <f>'Active and Pre-IPO SPACs'!M192</f>
        <v>U: [1/3 W]; W: [1:1, $11.5]</v>
      </c>
    </row>
    <row r="192">
      <c r="A192" s="78" t="str">
        <f>'Active and Pre-IPO SPACs'!A193</f>
        <v>CSIC</v>
      </c>
      <c r="B192" s="95" t="str">
        <f>'Active and Pre-IPO SPACs'!B193</f>
        <v>Cornerstone Investment Capital Holdings Co.</v>
      </c>
      <c r="C192" s="95" t="str">
        <f>'Active and Pre-IPO SPACs'!C193</f>
        <v>Pre IPO</v>
      </c>
      <c r="D192" s="101" t="str">
        <f>'Active and Pre-IPO SPACs'!D193</f>
        <v>Tech</v>
      </c>
      <c r="E192" s="96" t="str">
        <f>'Active and Pre-IPO SPACs'!E193</f>
        <v/>
      </c>
      <c r="F192" s="97" t="str">
        <f>'Active and Pre-IPO SPACs'!F193</f>
        <v>Robert Greifeld (Former Chairman &amp; CEO of Nasdaq, Chairman of Virtu Financial)</v>
      </c>
      <c r="G192" s="98" t="str">
        <f>'Active and Pre-IPO SPACs'!P193</f>
        <v/>
      </c>
      <c r="H192" s="99">
        <f>'Active and Pre-IPO SPACs'!Q193</f>
        <v>250</v>
      </c>
      <c r="I192" s="100" t="str">
        <f>'Active and Pre-IPO SPACs'!M193</f>
        <v>U: [1/3 W]; W: [1:1, $11.5]</v>
      </c>
    </row>
    <row r="193">
      <c r="A193" s="78" t="str">
        <f>'Active and Pre-IPO SPACs'!A194</f>
        <v>CSTA</v>
      </c>
      <c r="B193" s="95" t="str">
        <f>'Active and Pre-IPO SPACs'!B194</f>
        <v>Constellation Acquisition Corp I</v>
      </c>
      <c r="C193" s="95" t="str">
        <f>'Active and Pre-IPO SPACs'!C194</f>
        <v>Searching</v>
      </c>
      <c r="D193" s="91" t="str">
        <f>'Active and Pre-IPO SPACs'!D194</f>
        <v/>
      </c>
      <c r="E193" s="96" t="str">
        <f>'Active and Pre-IPO SPACs'!E194</f>
        <v/>
      </c>
      <c r="F193" s="97" t="str">
        <f>'Active and Pre-IPO SPACs'!F194</f>
        <v>Klaus Kleinfeld (Fmr CEO, Arconic; Fmr CEO, Alcoa)</v>
      </c>
      <c r="G193" s="98">
        <f>'Active and Pre-IPO SPACs'!P194</f>
        <v>44222</v>
      </c>
      <c r="H193" s="99">
        <f>'Active and Pre-IPO SPACs'!Q194</f>
        <v>300</v>
      </c>
      <c r="I193" s="100" t="str">
        <f>'Active and Pre-IPO SPACs'!M194</f>
        <v>U: [1/3 W]; W: [1:1, $11.5]</v>
      </c>
    </row>
    <row r="194">
      <c r="A194" s="78" t="str">
        <f>'Active and Pre-IPO SPACs'!A195</f>
        <v>CTAC</v>
      </c>
      <c r="B194" s="95" t="str">
        <f>'Active and Pre-IPO SPACs'!B195</f>
        <v>Cerberus Telecom Acquisition Corp</v>
      </c>
      <c r="C194" s="95" t="str">
        <f>'Active and Pre-IPO SPACs'!C195</f>
        <v>Definitive Agreement</v>
      </c>
      <c r="D194" s="91" t="str">
        <f>'Active and Pre-IPO SPACs'!D195</f>
        <v>Information and Communications Technology</v>
      </c>
      <c r="E194" s="96" t="str">
        <f>'Active and Pre-IPO SPACs'!E195</f>
        <v>KORE [DA: 03/12/21]</v>
      </c>
      <c r="F194" s="97" t="str">
        <f>'Active and Pre-IPO SPACs'!F195</f>
        <v>Timothy Donahue (Fmr CEO, Nextel; Fmr Exec Chairman, Sprint Nextel), Dr. Shaygan Kheradpir (Fmr Group Chief Information Officer, Verizon), Dr. Hossein Moiin (Fmr CTO, Nokia)</v>
      </c>
      <c r="G194" s="98">
        <f>'Active and Pre-IPO SPACs'!P195</f>
        <v>44125</v>
      </c>
      <c r="H194" s="99">
        <f>'Active and Pre-IPO SPACs'!Q195</f>
        <v>259.169</v>
      </c>
      <c r="I194" s="100" t="str">
        <f>'Active and Pre-IPO SPACs'!M195</f>
        <v>U: [1/3 W]; W: [1:1, $11.5]</v>
      </c>
    </row>
    <row r="195">
      <c r="A195" s="78" t="str">
        <f>'Active and Pre-IPO SPACs'!A196</f>
        <v>CTAQ</v>
      </c>
      <c r="B195" s="95" t="str">
        <f>'Active and Pre-IPO SPACs'!B196</f>
        <v>Carney Technology Acquisition Corp. II</v>
      </c>
      <c r="C195" s="95" t="str">
        <f>'Active and Pre-IPO SPACs'!C196</f>
        <v>Searching</v>
      </c>
      <c r="D195" s="91" t="str">
        <f>'Active and Pre-IPO SPACs'!D196</f>
        <v>Tech</v>
      </c>
      <c r="E195" s="96" t="str">
        <f>'Active and Pre-IPO SPACs'!E196</f>
        <v/>
      </c>
      <c r="F195" s="97" t="str">
        <f>'Active and Pre-IPO SPACs'!F196</f>
        <v>Lloyd Carney (Director, Visa; Fmr CEO, ChaSerg Tech Acquisitions), Ret. Lt. General Robert Ferrell (Fmr CIO, US Army), Ellen O'Donnell (Fmr SVP/Chief Compliance, McAfee)</v>
      </c>
      <c r="G195" s="98">
        <f>'Active and Pre-IPO SPACs'!P196</f>
        <v>44174</v>
      </c>
      <c r="H195" s="99">
        <f>'Active and Pre-IPO SPACs'!Q196</f>
        <v>402.5</v>
      </c>
      <c r="I195" s="100" t="str">
        <f>'Active and Pre-IPO SPACs'!M196</f>
        <v>U: [1/3 W]; W: [1:1, $11.5]</v>
      </c>
    </row>
    <row r="196">
      <c r="A196" s="78" t="str">
        <f>'Active and Pre-IPO SPACs'!A197</f>
        <v>CTII</v>
      </c>
      <c r="B196" s="95" t="str">
        <f>'Active and Pre-IPO SPACs'!B197</f>
        <v>Cerberus Telecom Acquisition Corp. II</v>
      </c>
      <c r="C196" s="95" t="str">
        <f>'Active and Pre-IPO SPACs'!C197</f>
        <v>Pre IPO</v>
      </c>
      <c r="D196" s="91" t="str">
        <f>'Active and Pre-IPO SPACs'!D197</f>
        <v/>
      </c>
      <c r="E196" s="96" t="str">
        <f>'Active and Pre-IPO SPACs'!E197</f>
        <v/>
      </c>
      <c r="F196" s="97" t="str">
        <f>'Active and Pre-IPO SPACs'!F197</f>
        <v>Stephen Feinberg (Founder &amp; Co-CEO of Cerberus Capital Management), Frank Bruno (Co-CEO of Cerberus), Timothy Donahue (Former CEO of Nextel Communications, Former Executive Chairman of Sprint Nextel, and Former Director of ADT and Eastman Kodak), Dr. Hossein Moiin (Former Chief Technology, Innovation, and Strategy Officer for Nokia Mobile Networks)</v>
      </c>
      <c r="G196" s="98" t="str">
        <f>'Active and Pre-IPO SPACs'!P197</f>
        <v/>
      </c>
      <c r="H196" s="99">
        <f>'Active and Pre-IPO SPACs'!Q197</f>
        <v>500</v>
      </c>
      <c r="I196" s="100" t="str">
        <f>'Active and Pre-IPO SPACs'!M197</f>
        <v>U: [1/4 W]; W: [1:1, $11.5]</v>
      </c>
    </row>
    <row r="197">
      <c r="A197" s="78" t="str">
        <f>'Active and Pre-IPO SPACs'!A198</f>
        <v>CVII</v>
      </c>
      <c r="B197" s="95" t="str">
        <f>'Active and Pre-IPO SPACs'!B198</f>
        <v>Churchill Capital Corp VII</v>
      </c>
      <c r="C197" s="95" t="str">
        <f>'Active and Pre-IPO SPACs'!C198</f>
        <v>Searching</v>
      </c>
      <c r="D197" s="91" t="str">
        <f>'Active and Pre-IPO SPACs'!D198</f>
        <v/>
      </c>
      <c r="E197" s="96" t="str">
        <f>'Active and Pre-IPO SPACs'!E198</f>
        <v/>
      </c>
      <c r="F197" s="97" t="str">
        <f>'Active and Pre-IPO SPACs'!F198</f>
        <v>Michael Klein (Former Co-CEO of Citigroup Markets and Banking)</v>
      </c>
      <c r="G197" s="98">
        <f>'Active and Pre-IPO SPACs'!P198</f>
        <v>44239</v>
      </c>
      <c r="H197" s="99">
        <f>'Active and Pre-IPO SPACs'!Q198</f>
        <v>1380</v>
      </c>
      <c r="I197" s="100" t="str">
        <f>'Active and Pre-IPO SPACs'!M198</f>
        <v>U: [1/5 W]; W: [1:1, $11.5]</v>
      </c>
    </row>
    <row r="198">
      <c r="A198" s="78" t="str">
        <f>'Active and Pre-IPO SPACs'!A199</f>
        <v>DBDR</v>
      </c>
      <c r="B198" s="95" t="str">
        <f>'Active and Pre-IPO SPACs'!B199</f>
        <v>Roman DBDR Tech Acquisition Corp.</v>
      </c>
      <c r="C198" s="95" t="str">
        <f>'Active and Pre-IPO SPACs'!C199</f>
        <v>Searching</v>
      </c>
      <c r="D198" s="91" t="str">
        <f>'Active and Pre-IPO SPACs'!D199</f>
        <v>TMT (Tech, Media, Telecom)</v>
      </c>
      <c r="E198" s="96" t="str">
        <f>'Active and Pre-IPO SPACs'!E199</f>
        <v/>
      </c>
      <c r="F198" s="97" t="str">
        <f>'Active and Pre-IPO SPACs'!F199</f>
        <v>Dixon Doll Jr. (CEO/Chairman, DBM Cloud Systems), Dixon Doll (Fmr Director, DirecTV)</v>
      </c>
      <c r="G198" s="98">
        <f>'Active and Pre-IPO SPACs'!P199</f>
        <v>44141</v>
      </c>
      <c r="H198" s="99">
        <f>'Active and Pre-IPO SPACs'!Q199</f>
        <v>236.1912</v>
      </c>
      <c r="I198" s="100" t="str">
        <f>'Active and Pre-IPO SPACs'!M199</f>
        <v>U: [1/2 W]; W: [1:1, $11.5]</v>
      </c>
    </row>
    <row r="199">
      <c r="A199" s="78" t="str">
        <f>'Active and Pre-IPO SPACs'!A200</f>
        <v>DCRB</v>
      </c>
      <c r="B199" s="95" t="str">
        <f>'Active and Pre-IPO SPACs'!B200</f>
        <v>Decarbonization Plus Acquisition Corporation</v>
      </c>
      <c r="C199" s="95" t="str">
        <f>'Active and Pre-IPO SPACs'!C200</f>
        <v>Definitive Agreement</v>
      </c>
      <c r="D199" s="91" t="str">
        <f>'Active and Pre-IPO SPACs'!D200</f>
        <v>Global decarbonization (incl. energy, agriculture, industrials, transportation, commercial, residential</v>
      </c>
      <c r="E199" s="96" t="str">
        <f>'Active and Pre-IPO SPACs'!E200</f>
        <v>Hyzon Motors [DA: 02/09/21]</v>
      </c>
      <c r="F199" s="102" t="str">
        <f>'Active and Pre-IPO SPACs'!F200</f>
        <v>Erik Anderson (Founder, WestRiver Group; Exec Chairman, Topgolf); Dr. Jennifer Aaker (Author, "Dragonfly Effect"); Pierre Lapeyre, Jr (Co-founder/Sr Managing Director, Riverstone Holdings); Jim McDermott (Founder, Stamps.com)</v>
      </c>
      <c r="G199" s="98">
        <f>'Active and Pre-IPO SPACs'!P200</f>
        <v>44123</v>
      </c>
      <c r="H199" s="99">
        <f>'Active and Pre-IPO SPACs'!Q200</f>
        <v>200</v>
      </c>
      <c r="I199" s="100" t="str">
        <f>'Active and Pre-IPO SPACs'!M200</f>
        <v>U: [1/3 W]; W: [1:1, $11.5]</v>
      </c>
    </row>
    <row r="200">
      <c r="A200" s="78" t="str">
        <f>'Active and Pre-IPO SPACs'!A201</f>
        <v>DCRC</v>
      </c>
      <c r="B200" s="95" t="str">
        <f>'Active and Pre-IPO SPACs'!B201</f>
        <v>Decarbonization Plus Acquisition Corp III</v>
      </c>
      <c r="C200" s="95" t="str">
        <f>'Active and Pre-IPO SPACs'!C201</f>
        <v>Searching (Pre Unit Split)</v>
      </c>
      <c r="D200" s="101" t="str">
        <f>'Active and Pre-IPO SPACs'!D201</f>
        <v>Global decarbonization (incl. energy, agriculture, industrials, transportation, commercial, residential</v>
      </c>
      <c r="E200" s="96" t="str">
        <f>'Active and Pre-IPO SPACs'!E201</f>
        <v/>
      </c>
      <c r="F200" s="97" t="str">
        <f>'Active and Pre-IPO SPACs'!F201</f>
        <v>Erik Anderson (Founder, WestRiver Group; Exec Chairman, Topgolf); Dr. Jennifer Aaker (Author, "Dragonfly Effect"); Pierre Lapeyre, Jr (Co-founder/Sr Managing Director, Riverstone Holdings); Jim McDermott (Founder, Stamps.com)</v>
      </c>
      <c r="G200" s="98">
        <f>'Active and Pre-IPO SPACs'!P201</f>
        <v>44278</v>
      </c>
      <c r="H200" s="99">
        <f>'Active and Pre-IPO SPACs'!Q201</f>
        <v>350</v>
      </c>
      <c r="I200" s="100" t="str">
        <f>'Active and Pre-IPO SPACs'!M201</f>
        <v>U: [1/3 W]; W: [1:1, $11.5]</v>
      </c>
    </row>
    <row r="201">
      <c r="A201" s="78" t="str">
        <f>'Active and Pre-IPO SPACs'!A202</f>
        <v>DCRD</v>
      </c>
      <c r="B201" s="95" t="str">
        <f>'Active and Pre-IPO SPACs'!B202</f>
        <v>Decarbonization Plus Acquisition Corp IV</v>
      </c>
      <c r="C201" s="95" t="str">
        <f>'Active and Pre-IPO SPACs'!C202</f>
        <v>Pre IPO</v>
      </c>
      <c r="D201" s="91" t="str">
        <f>'Active and Pre-IPO SPACs'!D202</f>
        <v/>
      </c>
      <c r="E201" s="96" t="str">
        <f>'Active and Pre-IPO SPACs'!E202</f>
        <v/>
      </c>
      <c r="F201" s="97" t="str">
        <f>'Active and Pre-IPO SPACs'!F202</f>
        <v/>
      </c>
      <c r="G201" s="98" t="str">
        <f>'Active and Pre-IPO SPACs'!P202</f>
        <v/>
      </c>
      <c r="H201" s="99">
        <f>'Active and Pre-IPO SPACs'!Q202</f>
        <v>350</v>
      </c>
      <c r="I201" s="100" t="str">
        <f>'Active and Pre-IPO SPACs'!M202</f>
        <v>U: [1/3 W]; W: [1:1, $11.5]</v>
      </c>
    </row>
    <row r="202">
      <c r="A202" s="78" t="str">
        <f>'Active and Pre-IPO SPACs'!A203</f>
        <v>DCRN</v>
      </c>
      <c r="B202" s="95" t="str">
        <f>'Active and Pre-IPO SPACs'!B203</f>
        <v>Decarbonization Plus Acquisition Corporation II</v>
      </c>
      <c r="C202" s="95" t="str">
        <f>'Active and Pre-IPO SPACs'!C203</f>
        <v>Searching</v>
      </c>
      <c r="D202" s="91" t="str">
        <f>'Active and Pre-IPO SPACs'!D203</f>
        <v>Global decarbonization (incl. energy, agriculture, industrials, transportation, commercial, residential</v>
      </c>
      <c r="E202" s="96" t="str">
        <f>'Active and Pre-IPO SPACs'!E203</f>
        <v/>
      </c>
      <c r="F202" s="102" t="str">
        <f>'Active and Pre-IPO SPACs'!F203</f>
        <v>Erik Anderson (Founder, WestRiver Group; Exec Chairman, Topgolf); Dr. Jennifer Aaker (Author, "Dragonfly Effect"); Pierre Lapeyre, Jr (Co-founder/Sr Managing Director, Riverstone Holdings); Jim McDermott (Founder, Stamps.com)</v>
      </c>
      <c r="G202" s="98">
        <f>'Active and Pre-IPO SPACs'!P203</f>
        <v>44230</v>
      </c>
      <c r="H202" s="99">
        <f>'Active and Pre-IPO SPACs'!Q203</f>
        <v>350</v>
      </c>
      <c r="I202" s="100" t="str">
        <f>'Active and Pre-IPO SPACs'!M203</f>
        <v>U: [1/3 W]; W: [1:1, $11.5]</v>
      </c>
    </row>
    <row r="203">
      <c r="A203" s="78" t="str">
        <f>'Active and Pre-IPO SPACs'!A204</f>
        <v>DDMX</v>
      </c>
      <c r="B203" s="95" t="str">
        <f>'Active and Pre-IPO SPACs'!B204</f>
        <v>DD3 Acquisition Corp. II</v>
      </c>
      <c r="C203" s="95" t="str">
        <f>'Active and Pre-IPO SPACs'!C204</f>
        <v>Searching</v>
      </c>
      <c r="D203" s="91" t="str">
        <f>'Active and Pre-IPO SPACs'!D204</f>
        <v>Mexico, Hispanic companies in US</v>
      </c>
      <c r="E203" s="96" t="str">
        <f>'Active and Pre-IPO SPACs'!E204</f>
        <v/>
      </c>
      <c r="F203" s="97" t="str">
        <f>'Active and Pre-IPO SPACs'!F204</f>
        <v>Dr. Martin Werner (Chairman, DD3 Acq I; Director, Betterware)</v>
      </c>
      <c r="G203" s="98">
        <f>'Active and Pre-IPO SPACs'!P204</f>
        <v>44173</v>
      </c>
      <c r="H203" s="99">
        <f>'Active and Pre-IPO SPACs'!Q204</f>
        <v>125</v>
      </c>
      <c r="I203" s="100" t="str">
        <f>'Active and Pre-IPO SPACs'!M204</f>
        <v>U: [1/2 W]; W: [1:1, $11.5]</v>
      </c>
    </row>
    <row r="204">
      <c r="A204" s="78" t="str">
        <f>'Active and Pre-IPO SPACs'!A205</f>
        <v>DEH</v>
      </c>
      <c r="B204" s="95" t="str">
        <f>'Active and Pre-IPO SPACs'!B205</f>
        <v>D8 Holdings Corp</v>
      </c>
      <c r="C204" s="95" t="str">
        <f>'Active and Pre-IPO SPACs'!C205</f>
        <v>Searching</v>
      </c>
      <c r="D204" s="91" t="str">
        <f>'Active and Pre-IPO SPACs'!D205</f>
        <v>Consumer</v>
      </c>
      <c r="E204" s="96" t="str">
        <f>'Active and Pre-IPO SPACs'!E205</f>
        <v>[In talks (unconfirmed) with Vicarious Surgical: Per Bloomberg 3/24/21]</v>
      </c>
      <c r="F204" s="97" t="str">
        <f>'Active and Pre-IPO SPACs'!F205</f>
        <v>Terry Lundgren (Former CEO of Macy’s and Neiman Marcus), Fred H. Langhammer (Former CEO of Estee Lauder), David Chu (Founder of Nautica), Michael Kives (Founder of K5 Global)</v>
      </c>
      <c r="G204" s="98">
        <f>'Active and Pre-IPO SPACs'!P205</f>
        <v>44027</v>
      </c>
      <c r="H204" s="99">
        <f>'Active and Pre-IPO SPACs'!Q205</f>
        <v>345</v>
      </c>
      <c r="I204" s="100" t="str">
        <f>'Active and Pre-IPO SPACs'!M205</f>
        <v>U: [1/2 W]; W: [1:1, $11.5]</v>
      </c>
    </row>
    <row r="205">
      <c r="A205" s="78" t="str">
        <f>'Active and Pre-IPO SPACs'!A206</f>
        <v>DFHT</v>
      </c>
      <c r="B205" s="95" t="str">
        <f>'Active and Pre-IPO SPACs'!B206</f>
        <v>Deerfield Healthcare Technology Acquisitions</v>
      </c>
      <c r="C205" s="95" t="str">
        <f>'Active and Pre-IPO SPACs'!C206</f>
        <v>Definitive Agreement</v>
      </c>
      <c r="D205" s="101" t="str">
        <f>'Active and Pre-IPO SPACs'!D206</f>
        <v>Healthcare</v>
      </c>
      <c r="E205" s="96" t="str">
        <f>'Active and Pre-IPO SPACs'!E206</f>
        <v>CareMax [DA: 12/18/20]</v>
      </c>
      <c r="F205" s="97" t="str">
        <f>'Active and Pre-IPO SPACs'!F206</f>
        <v/>
      </c>
      <c r="G205" s="98">
        <f>'Active and Pre-IPO SPACs'!P206</f>
        <v>44029</v>
      </c>
      <c r="H205" s="99">
        <f>'Active and Pre-IPO SPACs'!Q206</f>
        <v>143.75</v>
      </c>
      <c r="I205" s="100" t="str">
        <f>'Active and Pre-IPO SPACs'!M206</f>
        <v>U: [1/5 W]; W: [1:1, $11.5]</v>
      </c>
    </row>
    <row r="206">
      <c r="A206" s="78" t="str">
        <f>'Active and Pre-IPO SPACs'!A207</f>
        <v>DFNS</v>
      </c>
      <c r="B206" s="95" t="str">
        <f>'Active and Pre-IPO SPACs'!B207</f>
        <v>LGL Systems Acquisition Corp</v>
      </c>
      <c r="C206" s="95" t="str">
        <f>'Active and Pre-IPO SPACs'!C207</f>
        <v>Definitive Agreement</v>
      </c>
      <c r="D206" s="101" t="str">
        <f>'Active and Pre-IPO SPACs'!D207</f>
        <v>Aerospace, Defense, Communications</v>
      </c>
      <c r="E206" s="96" t="str">
        <f>'Active and Pre-IPO SPACs'!E207</f>
        <v>IronNet [DA: 03/15/21]</v>
      </c>
      <c r="F206" s="97" t="str">
        <f>'Active and Pre-IPO SPACs'!F207</f>
        <v/>
      </c>
      <c r="G206" s="98">
        <f>'Active and Pre-IPO SPACs'!P207</f>
        <v>43776</v>
      </c>
      <c r="H206" s="99">
        <f>'Active and Pre-IPO SPACs'!Q207</f>
        <v>172.5</v>
      </c>
      <c r="I206" s="100" t="str">
        <f>'Active and Pre-IPO SPACs'!M207</f>
        <v>U: [1/2 W]; W: [1:1, $11.5]</v>
      </c>
    </row>
    <row r="207">
      <c r="A207" s="78" t="str">
        <f>'Active and Pre-IPO SPACs'!A208</f>
        <v>DFPH</v>
      </c>
      <c r="B207" s="95" t="str">
        <f>'Active and Pre-IPO SPACs'!B208</f>
        <v>DFP Healthcare Acquisitions Corp</v>
      </c>
      <c r="C207" s="95" t="str">
        <f>'Active and Pre-IPO SPACs'!C208</f>
        <v>Searching</v>
      </c>
      <c r="D207" s="101" t="str">
        <f>'Active and Pre-IPO SPACs'!D208</f>
        <v>Healthcare</v>
      </c>
      <c r="E207" s="96" t="str">
        <f>'Active and Pre-IPO SPACs'!E208</f>
        <v/>
      </c>
      <c r="F207" s="97" t="str">
        <f>'Active and Pre-IPO SPACs'!F208</f>
        <v>Deerfield</v>
      </c>
      <c r="G207" s="98">
        <f>'Active and Pre-IPO SPACs'!P208</f>
        <v>43901</v>
      </c>
      <c r="H207" s="99">
        <f>'Active and Pre-IPO SPACs'!Q208</f>
        <v>230</v>
      </c>
      <c r="I207" s="100" t="str">
        <f>'Active and Pre-IPO SPACs'!M208</f>
        <v>U: [1/4 W]; W: [1:1, $11.5]</v>
      </c>
    </row>
    <row r="208">
      <c r="A208" s="78" t="str">
        <f>'Active and Pre-IPO SPACs'!A209</f>
        <v>DGNR</v>
      </c>
      <c r="B208" s="95" t="str">
        <f>'Active and Pre-IPO SPACs'!B209</f>
        <v>Dragoneer Growth Opportunities Corp.</v>
      </c>
      <c r="C208" s="95" t="str">
        <f>'Active and Pre-IPO SPACs'!C209</f>
        <v>Definitive Agreement</v>
      </c>
      <c r="D208" s="101" t="str">
        <f>'Active and Pre-IPO SPACs'!D209</f>
        <v>Software, Internet, Media, Consumer / Retail, Health-care, IT, Financial Services / Fintech</v>
      </c>
      <c r="E208" s="96" t="str">
        <f>'Active and Pre-IPO SPACs'!E209</f>
        <v>CCC Information Services [DA: 02/03/21]</v>
      </c>
      <c r="F208" s="97" t="str">
        <f>'Active and Pre-IPO SPACs'!F209</f>
        <v>Marc Stad (Founder/Managing Partner, Dragoneer), David Ossip (CEO of Ceridian HCM Holding, Sarah Friar (CEO, Nextdoor and Former CFO, Square)</v>
      </c>
      <c r="G208" s="98">
        <f>'Active and Pre-IPO SPACs'!P209</f>
        <v>44056</v>
      </c>
      <c r="H208" s="99">
        <f>'Active and Pre-IPO SPACs'!Q209</f>
        <v>690</v>
      </c>
      <c r="I208" s="100" t="str">
        <f>'Active and Pre-IPO SPACs'!M209</f>
        <v>U: [1/5 W]; W: [1:1, $11.5]</v>
      </c>
    </row>
    <row r="209">
      <c r="A209" s="78" t="str">
        <f>'Active and Pre-IPO SPACs'!A210</f>
        <v>DGNS</v>
      </c>
      <c r="B209" s="95" t="str">
        <f>'Active and Pre-IPO SPACs'!B210</f>
        <v>Dragoneer Growth Opportunities Corp. II</v>
      </c>
      <c r="C209" s="95" t="str">
        <f>'Active and Pre-IPO SPACs'!C210</f>
        <v>Searching</v>
      </c>
      <c r="D209" s="91" t="str">
        <f>'Active and Pre-IPO SPACs'!D210</f>
        <v>Software, Internet, Media, Consumer / Retail, Health-care, IT, Financial Services / Fintech</v>
      </c>
      <c r="E209" s="96" t="str">
        <f>'Active and Pre-IPO SPACs'!E210</f>
        <v/>
      </c>
      <c r="F209" s="97" t="str">
        <f>'Active and Pre-IPO SPACs'!F210</f>
        <v>Marc Stad (Founder/Managing Partner, Dragoneer), David Ossip (CEO of Ceridian HCM Holding, Sarah Friar (CEO, Nextdoor and Former CFO, Square), Jay Simmons (Fmr President, Atlassian)</v>
      </c>
      <c r="G209" s="98">
        <f>'Active and Pre-IPO SPACs'!P210</f>
        <v>44151</v>
      </c>
      <c r="H209" s="99">
        <f>'Active and Pre-IPO SPACs'!Q210</f>
        <v>276</v>
      </c>
      <c r="I209" s="100" t="str">
        <f>'Active and Pre-IPO SPACs'!M210</f>
        <v>U: [No units]; W: [No warrants]</v>
      </c>
    </row>
    <row r="210">
      <c r="A210" s="78" t="str">
        <f>'Active and Pre-IPO SPACs'!A211</f>
        <v>DGNU</v>
      </c>
      <c r="B210" s="95" t="str">
        <f>'Active and Pre-IPO SPACs'!B211</f>
        <v>Dragoneer Growth Opportunities Corp. III</v>
      </c>
      <c r="C210" s="95" t="str">
        <f>'Active and Pre-IPO SPACs'!C211</f>
        <v>Searching</v>
      </c>
      <c r="D210" s="91" t="str">
        <f>'Active and Pre-IPO SPACs'!D211</f>
        <v/>
      </c>
      <c r="E210" s="96" t="str">
        <f>'Active and Pre-IPO SPACs'!E211</f>
        <v/>
      </c>
      <c r="F210" s="97" t="str">
        <f>'Active and Pre-IPO SPACs'!F211</f>
        <v>Marc Stad (Founder, CEO, CIO, &amp; Managing Partner of Dragoneer Investment Group), Sarah Friar (CEO of Nextdoor, Former CFO of Square, Director of Walmart &amp; Slack Technologies)</v>
      </c>
      <c r="G210" s="98">
        <f>'Active and Pre-IPO SPACs'!P211</f>
        <v>44277</v>
      </c>
      <c r="H210" s="99">
        <f>'Active and Pre-IPO SPACs'!Q211</f>
        <v>400</v>
      </c>
      <c r="I210" s="100" t="str">
        <f>'Active and Pre-IPO SPACs'!M211</f>
        <v>U: [No Units]; W: [No Warrants]</v>
      </c>
    </row>
    <row r="211">
      <c r="A211" s="78" t="str">
        <f>'Active and Pre-IPO SPACs'!A212</f>
        <v>DGON</v>
      </c>
      <c r="B211" s="95" t="str">
        <f>'Active and Pre-IPO SPACs'!B212</f>
        <v>Black Dragon Acquisition Corp. I</v>
      </c>
      <c r="C211" s="95" t="str">
        <f>'Active and Pre-IPO SPACs'!C212</f>
        <v>Pre IPO</v>
      </c>
      <c r="D211" s="101" t="str">
        <f>'Active and Pre-IPO SPACs'!D212</f>
        <v>e-Commerce, sports &amp; media tech, or Fintech</v>
      </c>
      <c r="E211" s="96" t="str">
        <f>'Active and Pre-IPO SPACs'!E212</f>
        <v/>
      </c>
      <c r="F211" s="97" t="str">
        <f>'Active and Pre-IPO SPACs'!F212</f>
        <v/>
      </c>
      <c r="G211" s="98" t="str">
        <f>'Active and Pre-IPO SPACs'!P212</f>
        <v/>
      </c>
      <c r="H211" s="99">
        <f>'Active and Pre-IPO SPACs'!Q212</f>
        <v>250</v>
      </c>
      <c r="I211" s="100" t="str">
        <f>'Active and Pre-IPO SPACs'!M212</f>
        <v>U: [1/3 W]; W: [1:1, $11.5]</v>
      </c>
    </row>
    <row r="212">
      <c r="A212" s="78" t="str">
        <f>'Active and Pre-IPO SPACs'!A213</f>
        <v>DHBC</v>
      </c>
      <c r="B212" s="95" t="str">
        <f>'Active and Pre-IPO SPACs'!B213</f>
        <v>DHB Capital Corp.</v>
      </c>
      <c r="C212" s="95" t="str">
        <f>'Active and Pre-IPO SPACs'!C213</f>
        <v>Searching (Pre Unit Split)</v>
      </c>
      <c r="D212" s="101" t="str">
        <f>'Active and Pre-IPO SPACs'!D213</f>
        <v>Financial Services</v>
      </c>
      <c r="E212" s="96" t="str">
        <f>'Active and Pre-IPO SPACs'!E213</f>
        <v/>
      </c>
      <c r="F212" s="97" t="str">
        <f>'Active and Pre-IPO SPACs'!F213</f>
        <v>Robert Hurst (Fmr Vice Chairman/ Head of Investment Banking Division, Goldman Sachs)</v>
      </c>
      <c r="G212" s="98">
        <f>'Active and Pre-IPO SPACs'!P213</f>
        <v>44256</v>
      </c>
      <c r="H212" s="99">
        <f>'Active and Pre-IPO SPACs'!Q213</f>
        <v>287.5</v>
      </c>
      <c r="I212" s="100" t="str">
        <f>'Active and Pre-IPO SPACs'!M213</f>
        <v>U: [1/3 W]; W: [1:1, $11.5]</v>
      </c>
    </row>
    <row r="213">
      <c r="A213" s="78" t="str">
        <f>'Active and Pre-IPO SPACs'!A214</f>
        <v>DHCA</v>
      </c>
      <c r="B213" s="95" t="str">
        <f>'Active and Pre-IPO SPACs'!B214</f>
        <v>DHC Acquisition Corp.</v>
      </c>
      <c r="C213" s="95" t="str">
        <f>'Active and Pre-IPO SPACs'!C214</f>
        <v>Searching (Pre Unit Split)</v>
      </c>
      <c r="D213" s="101" t="str">
        <f>'Active and Pre-IPO SPACs'!D214</f>
        <v>Tech</v>
      </c>
      <c r="E213" s="96" t="str">
        <f>'Active and Pre-IPO SPACs'!E214</f>
        <v/>
      </c>
      <c r="F213" s="97" t="str">
        <f>'Active and Pre-IPO SPACs'!F214</f>
        <v>Joseph DePinto (CEO, 7-Eleven)</v>
      </c>
      <c r="G213" s="98">
        <f>'Active and Pre-IPO SPACs'!P214</f>
        <v>44256</v>
      </c>
      <c r="H213" s="99">
        <f>'Active and Pre-IPO SPACs'!Q214</f>
        <v>309.45072</v>
      </c>
      <c r="I213" s="100" t="str">
        <f>'Active and Pre-IPO SPACs'!M214</f>
        <v>U: [1/3 W]; W: [1:1, $11.5]</v>
      </c>
    </row>
    <row r="214">
      <c r="A214" s="78" t="str">
        <f>'Active and Pre-IPO SPACs'!A215</f>
        <v>DHHC</v>
      </c>
      <c r="B214" s="95" t="str">
        <f>'Active and Pre-IPO SPACs'!B215</f>
        <v>DiamondHead Holdings Corp.</v>
      </c>
      <c r="C214" s="95" t="str">
        <f>'Active and Pre-IPO SPACs'!C215</f>
        <v>Searching</v>
      </c>
      <c r="D214" s="91" t="str">
        <f>'Active and Pre-IPO SPACs'!D215</f>
        <v/>
      </c>
      <c r="E214" s="96" t="str">
        <f>'Active and Pre-IPO SPACs'!E215</f>
        <v/>
      </c>
      <c r="F214" s="97" t="str">
        <f>'Active and Pre-IPO SPACs'!F215</f>
        <v>David Hamamoto (Director, Lordstown; Fmr Chairman, DiamondPeak)</v>
      </c>
      <c r="G214" s="98">
        <f>'Active and Pre-IPO SPACs'!P215</f>
        <v>44222</v>
      </c>
      <c r="H214" s="99">
        <f>'Active and Pre-IPO SPACs'!Q215</f>
        <v>345</v>
      </c>
      <c r="I214" s="100" t="str">
        <f>'Active and Pre-IPO SPACs'!M215</f>
        <v>U: [1/4 W]; W: [1:1, $11.5]</v>
      </c>
    </row>
    <row r="215">
      <c r="A215" s="78" t="str">
        <f>'Active and Pre-IPO SPACs'!A216</f>
        <v>DIII</v>
      </c>
      <c r="B215" s="95" t="str">
        <f>'Active and Pre-IPO SPACs'!B216</f>
        <v>DD3 Acquisition Corp. III</v>
      </c>
      <c r="C215" s="95" t="str">
        <f>'Active and Pre-IPO SPACs'!C216</f>
        <v>Pre IPO</v>
      </c>
      <c r="D215" s="101" t="str">
        <f>'Active and Pre-IPO SPACs'!D216</f>
        <v>Mexico and Hispanic businesses in the U.S.</v>
      </c>
      <c r="E215" s="96" t="str">
        <f>'Active and Pre-IPO SPACs'!E216</f>
        <v/>
      </c>
      <c r="F215" s="97" t="str">
        <f>'Active and Pre-IPO SPACs'!F216</f>
        <v/>
      </c>
      <c r="G215" s="98" t="str">
        <f>'Active and Pre-IPO SPACs'!P216</f>
        <v/>
      </c>
      <c r="H215" s="99">
        <f>'Active and Pre-IPO SPACs'!Q216</f>
        <v>150</v>
      </c>
      <c r="I215" s="100" t="str">
        <f>'Active and Pre-IPO SPACs'!M216</f>
        <v>U: [1/3 W]; W: [1:1, $11.5]</v>
      </c>
    </row>
    <row r="216">
      <c r="A216" s="78" t="str">
        <f>'Active and Pre-IPO SPACs'!A217</f>
        <v>DILA</v>
      </c>
      <c r="B216" s="95" t="str">
        <f>'Active and Pre-IPO SPACs'!B217</f>
        <v>Dila Capital Acquisition Corp</v>
      </c>
      <c r="C216" s="95" t="str">
        <f>'Active and Pre-IPO SPACs'!C217</f>
        <v>Pre IPO</v>
      </c>
      <c r="D216" s="101" t="str">
        <f>'Active and Pre-IPO SPACs'!D217</f>
        <v>Latin America</v>
      </c>
      <c r="E216" s="96" t="str">
        <f>'Active and Pre-IPO SPACs'!E217</f>
        <v/>
      </c>
      <c r="F216" s="97" t="str">
        <f>'Active and Pre-IPO SPACs'!F217</f>
        <v/>
      </c>
      <c r="G216" s="98" t="str">
        <f>'Active and Pre-IPO SPACs'!P217</f>
        <v/>
      </c>
      <c r="H216" s="99">
        <f>'Active and Pre-IPO SPACs'!Q217</f>
        <v>50</v>
      </c>
      <c r="I216" s="100" t="str">
        <f>'Active and Pre-IPO SPACs'!M217</f>
        <v>U: [1 W]; W: [1:1, $11.5]</v>
      </c>
    </row>
    <row r="217">
      <c r="A217" s="78" t="str">
        <f>'Active and Pre-IPO SPACs'!A218</f>
        <v>DISA</v>
      </c>
      <c r="B217" s="95" t="str">
        <f>'Active and Pre-IPO SPACs'!B218</f>
        <v>Disruptive Acquisition Corp I</v>
      </c>
      <c r="C217" s="95" t="str">
        <f>'Active and Pre-IPO SPACs'!C218</f>
        <v>Searching (Pre Unit Split)</v>
      </c>
      <c r="D217" s="101" t="str">
        <f>'Active and Pre-IPO SPACs'!D218</f>
        <v>Health and wellness, entertainment, and consumer tech</v>
      </c>
      <c r="E217" s="96" t="str">
        <f>'Active and Pre-IPO SPACs'!E218</f>
        <v/>
      </c>
      <c r="F217" s="97" t="str">
        <f>'Active and Pre-IPO SPACs'!F218</f>
        <v>Alexander Davis (Founder &amp; CEO of Disruptive and Founding Managing Director of Ten-X), Mardy Fish (Former Professional Tennis Player), Karen Finerman (Co-founder &amp; CEO of Metropolitan Capital Advisors), Galen Smith (CEO of Redbox)</v>
      </c>
      <c r="G217" s="98">
        <f>'Active and Pre-IPO SPACs'!P218</f>
        <v>44278</v>
      </c>
      <c r="H217" s="99">
        <f>'Active and Pre-IPO SPACs'!Q218</f>
        <v>250</v>
      </c>
      <c r="I217" s="100" t="str">
        <f>'Active and Pre-IPO SPACs'!M218</f>
        <v>U: [1/3 W]; W: [1:1, $11.5]</v>
      </c>
    </row>
    <row r="218">
      <c r="A218" s="78" t="str">
        <f>'Active and Pre-IPO SPACs'!A219</f>
        <v>DIST</v>
      </c>
      <c r="B218" s="95" t="str">
        <f>'Active and Pre-IPO SPACs'!B219</f>
        <v>Distoken Acquisition Corporation</v>
      </c>
      <c r="C218" s="95" t="str">
        <f>'Active and Pre-IPO SPACs'!C219</f>
        <v>Pre IPO</v>
      </c>
      <c r="D218" s="101" t="str">
        <f>'Active and Pre-IPO SPACs'!D219</f>
        <v>Tech (Asia)</v>
      </c>
      <c r="E218" s="96" t="str">
        <f>'Active and Pre-IPO SPACs'!E219</f>
        <v/>
      </c>
      <c r="F218" s="97" t="str">
        <f>'Active and Pre-IPO SPACs'!F219</f>
        <v/>
      </c>
      <c r="G218" s="98" t="str">
        <f>'Active and Pre-IPO SPACs'!P219</f>
        <v/>
      </c>
      <c r="H218" s="99">
        <f>'Active and Pre-IPO SPACs'!Q219</f>
        <v>40</v>
      </c>
      <c r="I218" s="100" t="str">
        <f>'Active and Pre-IPO SPACs'!M219</f>
        <v>U: [1/2 W, 1 R (1/10)]; W: [1:1, $11.5]</v>
      </c>
    </row>
    <row r="219">
      <c r="A219" s="78" t="str">
        <f>'Active and Pre-IPO SPACs'!A220</f>
        <v>DKDCA</v>
      </c>
      <c r="B219" s="95" t="str">
        <f>'Active and Pre-IPO SPACs'!B220</f>
        <v>Data Knights Acquisition Corp.</v>
      </c>
      <c r="C219" s="95" t="str">
        <f>'Active and Pre-IPO SPACs'!C220</f>
        <v>Pre IPO</v>
      </c>
      <c r="D219" s="101" t="str">
        <f>'Active and Pre-IPO SPACs'!D220</f>
        <v>Data Centers, Internet Tech</v>
      </c>
      <c r="E219" s="96" t="str">
        <f>'Active and Pre-IPO SPACs'!E220</f>
        <v/>
      </c>
      <c r="F219" s="97" t="str">
        <f>'Active and Pre-IPO SPACs'!F220</f>
        <v/>
      </c>
      <c r="G219" s="98" t="str">
        <f>'Active and Pre-IPO SPACs'!P220</f>
        <v/>
      </c>
      <c r="H219" s="99">
        <f>'Active and Pre-IPO SPACs'!Q220</f>
        <v>100</v>
      </c>
      <c r="I219" s="100" t="str">
        <f>'Active and Pre-IPO SPACs'!M220</f>
        <v>U: [1/2 W 1 R]; W: [1:1, $11.5]</v>
      </c>
    </row>
    <row r="220">
      <c r="A220" s="78" t="str">
        <f>'Active and Pre-IPO SPACs'!A221</f>
        <v>DLCA</v>
      </c>
      <c r="B220" s="95" t="str">
        <f>'Active and Pre-IPO SPACs'!B221</f>
        <v>Deep Lake Capital Acquisition Corp.</v>
      </c>
      <c r="C220" s="95" t="str">
        <f>'Active and Pre-IPO SPACs'!C221</f>
        <v>Searching</v>
      </c>
      <c r="D220" s="101" t="str">
        <f>'Active and Pre-IPO SPACs'!D221</f>
        <v>FinTech, Ecommerce software, Data and Analytics</v>
      </c>
      <c r="E220" s="96" t="str">
        <f>'Active and Pre-IPO SPACs'!E221</f>
        <v/>
      </c>
      <c r="F220" s="97" t="str">
        <f>'Active and Pre-IPO SPACs'!F221</f>
        <v>Mark Lavelle (Fmr CEO, Magento Commerce and Bill Me Later), Gary Marino (Fmr CCO, PayPal)</v>
      </c>
      <c r="G220" s="98">
        <f>'Active and Pre-IPO SPACs'!P221</f>
        <v>44208</v>
      </c>
      <c r="H220" s="99">
        <f>'Active and Pre-IPO SPACs'!Q221</f>
        <v>207</v>
      </c>
      <c r="I220" s="100" t="str">
        <f>'Active and Pre-IPO SPACs'!M221</f>
        <v>U: [1/2 W]; W: [1:1, $11.5]</v>
      </c>
    </row>
    <row r="221">
      <c r="A221" s="78" t="str">
        <f>'Active and Pre-IPO SPACs'!A222</f>
        <v>DMYD</v>
      </c>
      <c r="B221" s="95" t="str">
        <f>'Active and Pre-IPO SPACs'!B222</f>
        <v>dMY Technology Group, Inc. II</v>
      </c>
      <c r="C221" s="95" t="str">
        <f>'Active and Pre-IPO SPACs'!C222</f>
        <v>Definitive Agreement</v>
      </c>
      <c r="D221" s="101" t="str">
        <f>'Active and Pre-IPO SPACs'!D222</f>
        <v>Mobile Apps, Consumer Internet, Tech</v>
      </c>
      <c r="E221" s="96" t="str">
        <f>'Active and Pre-IPO SPACs'!E222</f>
        <v>Genius Sports Group [DA: 10/27/20]</v>
      </c>
      <c r="F221" s="97" t="str">
        <f>'Active and Pre-IPO SPACs'!F222</f>
        <v>Harry You (Former CFO of Oracle and Accenture; Former Exec VP of EMC; Founder of GTY Tech Holdings)</v>
      </c>
      <c r="G221" s="98">
        <f>'Active and Pre-IPO SPACs'!P222</f>
        <v>44056</v>
      </c>
      <c r="H221" s="99">
        <f>'Active and Pre-IPO SPACs'!Q222</f>
        <v>276</v>
      </c>
      <c r="I221" s="100" t="str">
        <f>'Active and Pre-IPO SPACs'!M222</f>
        <v>U: [1/3 W]; W: [1:1, $11.5]</v>
      </c>
    </row>
    <row r="222">
      <c r="A222" s="78" t="str">
        <f>'Active and Pre-IPO SPACs'!A223</f>
        <v>DMYI</v>
      </c>
      <c r="B222" s="95" t="str">
        <f>'Active and Pre-IPO SPACs'!B223</f>
        <v>dMY Technology Group, Inc. III</v>
      </c>
      <c r="C222" s="95" t="str">
        <f>'Active and Pre-IPO SPACs'!C223</f>
        <v>Definitive Agreement</v>
      </c>
      <c r="D222" s="101" t="str">
        <f>'Active and Pre-IPO SPACs'!D223</f>
        <v>Mobile Apps, Consumer Internet, Tech</v>
      </c>
      <c r="E222" s="96" t="str">
        <f>'Active and Pre-IPO SPACs'!E223</f>
        <v>IonQ [DA: 03/08/21]</v>
      </c>
      <c r="F222" s="97" t="str">
        <f>'Active and Pre-IPO SPACs'!F223</f>
        <v>Niccolo de Masi (CEO of DMYT, DMYD), Harry You (Former CFO of Oracle and Accenture; Former Exec VP of EMC; Founder of GTY Tech Holdings), Darla Anderson (Producer, Netflix; Fmr Producer, Pixar Animation)</v>
      </c>
      <c r="G222" s="98">
        <f>'Active and Pre-IPO SPACs'!P223</f>
        <v>44147</v>
      </c>
      <c r="H222" s="99">
        <f>'Active and Pre-IPO SPACs'!Q223</f>
        <v>300</v>
      </c>
      <c r="I222" s="100" t="str">
        <f>'Active and Pre-IPO SPACs'!M223</f>
        <v>U: [1/4 W]; W: [1:1, $11.5]</v>
      </c>
    </row>
    <row r="223">
      <c r="A223" s="78" t="str">
        <f>'Active and Pre-IPO SPACs'!A224</f>
        <v>DMYQ</v>
      </c>
      <c r="B223" s="95" t="str">
        <f>'Active and Pre-IPO SPACs'!B224</f>
        <v>dMY Technology Group, Inc. IV</v>
      </c>
      <c r="C223" s="95" t="str">
        <f>'Active and Pre-IPO SPACs'!C224</f>
        <v>Searching (Pre Unit Split)</v>
      </c>
      <c r="D223" s="101" t="str">
        <f>'Active and Pre-IPO SPACs'!D224</f>
        <v>Mobile Apps, Consumer Internet, Tech</v>
      </c>
      <c r="E223" s="96" t="str">
        <f>'Active and Pre-IPO SPACs'!E224</f>
        <v/>
      </c>
      <c r="F223" s="97" t="str">
        <f>'Active and Pre-IPO SPACs'!F224</f>
        <v>Harry You (Fmr CFO, Oracle; Founder, GTY Technology), Niccolo de Masi (Chairman/Fmr CEO, Glu; CEO, dMY Technology Group III), Darla Anderson (Academy Award winner; Film Producer, Netflix; Fmr Film Producer, Pixar Animation Studio— produced “Coco”, “Toy Story 3”, “Monsters; Inc.”)</v>
      </c>
      <c r="G223" s="98">
        <f>'Active and Pre-IPO SPACs'!P224</f>
        <v>44259</v>
      </c>
      <c r="H223" s="99">
        <f>'Active and Pre-IPO SPACs'!Q224</f>
        <v>345</v>
      </c>
      <c r="I223" s="100" t="str">
        <f>'Active and Pre-IPO SPACs'!M224</f>
        <v>U: [1/5 W]; W: [1:1, $11.5]</v>
      </c>
    </row>
    <row r="224">
      <c r="A224" s="78" t="str">
        <f>'Active and Pre-IPO SPACs'!A225</f>
        <v>DNZ</v>
      </c>
      <c r="B224" s="95" t="str">
        <f>'Active and Pre-IPO SPACs'!B225</f>
        <v>D and Z Media Acquisition Corp.</v>
      </c>
      <c r="C224" s="95" t="str">
        <f>'Active and Pre-IPO SPACs'!C225</f>
        <v>Searching</v>
      </c>
      <c r="D224" s="91" t="str">
        <f>'Active and Pre-IPO SPACs'!D225</f>
        <v>Media, EdTech</v>
      </c>
      <c r="E224" s="96" t="str">
        <f>'Active and Pre-IPO SPACs'!E225</f>
        <v/>
      </c>
      <c r="F224" s="97" t="str">
        <f>'Active and Pre-IPO SPACs'!F225</f>
        <v>Betty Liu (Fmr Exec Vice Chairman, NYSE; Anchor/Editor-at-large, Bloomberg Television and Radio), Brian Grazer (Film and Television Producer), Matt Blank (Fmr CEO, Showtime Networks), Daniel Rosensweig (CEO, Chegg)</v>
      </c>
      <c r="G224" s="98">
        <f>'Active and Pre-IPO SPACs'!P225</f>
        <v>44222</v>
      </c>
      <c r="H224" s="99">
        <f>'Active and Pre-IPO SPACs'!Q225</f>
        <v>287.5</v>
      </c>
      <c r="I224" s="100" t="str">
        <f>'Active and Pre-IPO SPACs'!M225</f>
        <v>U: [1/3 W]; W: [1:1, $11.5]</v>
      </c>
    </row>
    <row r="225">
      <c r="A225" s="78" t="str">
        <f>'Active and Pre-IPO SPACs'!A226</f>
        <v>DOIT</v>
      </c>
      <c r="B225" s="95" t="str">
        <f>'Active and Pre-IPO SPACs'!B226</f>
        <v>Do It Again Corp.</v>
      </c>
      <c r="C225" s="95" t="str">
        <f>'Active and Pre-IPO SPACs'!C226</f>
        <v>Pre IPO</v>
      </c>
      <c r="D225" s="101" t="str">
        <f>'Active and Pre-IPO SPACs'!D226</f>
        <v>Restaurant, food-related, and franchise</v>
      </c>
      <c r="E225" s="96" t="str">
        <f>'Active and Pre-IPO SPACs'!E226</f>
        <v/>
      </c>
      <c r="F225" s="97" t="str">
        <f>'Active and Pre-IPO SPACs'!F226</f>
        <v>Clifford Hudson (Former Chairman &amp; CEO of Sonic Corp), Sid Feltenstein (Former CMO of Dunkin’ Donuts, Founder of Sagittarius Brands, and Director of Captain D’s, Fazioli’s, Hooters, The Honey Baked Ham Company, Newk’s Eatery, and TGI Friday’s), Kate Lavelle (Former CFO of Dunkin’ Brands)</v>
      </c>
      <c r="G225" s="98" t="str">
        <f>'Active and Pre-IPO SPACs'!P226</f>
        <v/>
      </c>
      <c r="H225" s="99">
        <f>'Active and Pre-IPO SPACs'!Q226</f>
        <v>125</v>
      </c>
      <c r="I225" s="100" t="str">
        <f>'Active and Pre-IPO SPACs'!M226</f>
        <v>U: [1/3 W]; W: [1:1, $11.5]</v>
      </c>
    </row>
    <row r="226">
      <c r="A226" s="78" t="str">
        <f>'Active and Pre-IPO SPACs'!A227</f>
        <v>DSAC</v>
      </c>
      <c r="B226" s="95" t="str">
        <f>'Active and Pre-IPO SPACs'!B227</f>
        <v>Duddell Street Acquisition Corp. </v>
      </c>
      <c r="C226" s="95" t="str">
        <f>'Active and Pre-IPO SPACs'!C227</f>
        <v>Searching</v>
      </c>
      <c r="D226" s="91" t="str">
        <f>'Active and Pre-IPO SPACs'!D227</f>
        <v>TMT (Tech, Media, Telecom), healthcare, fintech, consumer (Asia-growth potential)</v>
      </c>
      <c r="E226" s="96" t="str">
        <f>'Active and Pre-IPO SPACs'!E227</f>
        <v/>
      </c>
      <c r="F226" s="97" t="str">
        <f>'Active and Pre-IPO SPACs'!F227</f>
        <v/>
      </c>
      <c r="G226" s="98">
        <f>'Active and Pre-IPO SPACs'!P227</f>
        <v>44132</v>
      </c>
      <c r="H226" s="99">
        <f>'Active and Pre-IPO SPACs'!Q227</f>
        <v>175</v>
      </c>
      <c r="I226" s="100" t="str">
        <f>'Active and Pre-IPO SPACs'!M227</f>
        <v>U: [1/2 W]; W: [1:1, $11.5]</v>
      </c>
    </row>
    <row r="227">
      <c r="A227" s="78" t="str">
        <f>'Active and Pre-IPO SPACs'!A228</f>
        <v>DSPQ</v>
      </c>
      <c r="B227" s="95" t="str">
        <f>'Active and Pre-IPO SPACs'!B228</f>
        <v>Denham Sustainable Performance Acquisition Corp.</v>
      </c>
      <c r="C227" s="95" t="str">
        <f>'Active and Pre-IPO SPACs'!C228</f>
        <v>Pre IPO</v>
      </c>
      <c r="D227" s="91" t="str">
        <f>'Active and Pre-IPO SPACs'!D228</f>
        <v>Energy Transition</v>
      </c>
      <c r="E227" s="96" t="str">
        <f>'Active and Pre-IPO SPACs'!E228</f>
        <v/>
      </c>
      <c r="F227" s="97" t="str">
        <f>'Active and Pre-IPO SPACs'!F228</f>
        <v/>
      </c>
      <c r="G227" s="98" t="str">
        <f>'Active and Pre-IPO SPACs'!P228</f>
        <v/>
      </c>
      <c r="H227" s="99">
        <f>'Active and Pre-IPO SPACs'!Q228</f>
        <v>200</v>
      </c>
      <c r="I227" s="100" t="str">
        <f>'Active and Pre-IPO SPACs'!M228</f>
        <v>U: [1/3 W]; W: [1:1, $11.5]</v>
      </c>
    </row>
    <row r="228">
      <c r="A228" s="78" t="str">
        <f>'Active and Pre-IPO SPACs'!A229</f>
        <v>DTOC</v>
      </c>
      <c r="B228" s="95" t="str">
        <f>'Active and Pre-IPO SPACs'!B229</f>
        <v>Digital Transformation Opportunities Corp.</v>
      </c>
      <c r="C228" s="95" t="str">
        <f>'Active and Pre-IPO SPACs'!C229</f>
        <v>Searching (Pre Unit Split)</v>
      </c>
      <c r="D228" s="101" t="str">
        <f>'Active and Pre-IPO SPACs'!D229</f>
        <v>Healthcare Tech</v>
      </c>
      <c r="E228" s="96" t="str">
        <f>'Active and Pre-IPO SPACs'!E229</f>
        <v/>
      </c>
      <c r="F228" s="97" t="str">
        <f>'Active and Pre-IPO SPACs'!F229</f>
        <v>Kevin Nazemi (Fmr Co-CEO, Oscar Health), Bradley Fluegel (Fmr Chief Strategy Officer, Walgreens &amp; Anthem), Jim Moffatt (Fmr Vice Chairman/Global CEO, Deloitte Consulting)</v>
      </c>
      <c r="G228" s="98">
        <f>'Active and Pre-IPO SPACs'!P229</f>
        <v>44264</v>
      </c>
      <c r="H228" s="99">
        <f>'Active and Pre-IPO SPACs'!Q229</f>
        <v>333.5</v>
      </c>
      <c r="I228" s="100" t="str">
        <f>'Active and Pre-IPO SPACs'!M229</f>
        <v>U: [1/4 W]; W: [1:1, $11.5]</v>
      </c>
    </row>
    <row r="229">
      <c r="A229" s="78" t="str">
        <f>'Active and Pre-IPO SPACs'!A230</f>
        <v>DUNE</v>
      </c>
      <c r="B229" s="95" t="str">
        <f>'Active and Pre-IPO SPACs'!B230</f>
        <v>Dune Acquisition Corp.</v>
      </c>
      <c r="C229" s="95" t="str">
        <f>'Active and Pre-IPO SPACs'!C230</f>
        <v>Searching</v>
      </c>
      <c r="D229" s="91" t="str">
        <f>'Active and Pre-IPO SPACs'!D230</f>
        <v>SaaS, Tech</v>
      </c>
      <c r="E229" s="96" t="str">
        <f>'Active and Pre-IPO SPACs'!E230</f>
        <v/>
      </c>
      <c r="F229" s="97" t="str">
        <f>'Active and Pre-IPO SPACs'!F230</f>
        <v>Carter Glatt (Former SVP, GTY Technology Holdings), Jeron Smith (Co-founder, Unanimous Media)</v>
      </c>
      <c r="G229" s="98">
        <f>'Active and Pre-IPO SPACs'!P230</f>
        <v>44182</v>
      </c>
      <c r="H229" s="99">
        <f>'Active and Pre-IPO SPACs'!Q230</f>
        <v>172.5</v>
      </c>
      <c r="I229" s="100" t="str">
        <f>'Active and Pre-IPO SPACs'!M230</f>
        <v>U: [1/2 W]; W: [1:1, $11.5]</v>
      </c>
    </row>
    <row r="230">
      <c r="A230" s="78" t="str">
        <f>'Active and Pre-IPO SPACs'!A231</f>
        <v>DWIN</v>
      </c>
      <c r="B230" s="95" t="str">
        <f>'Active and Pre-IPO SPACs'!B231</f>
        <v>Delwinds Insurance Acquisition Corp
</v>
      </c>
      <c r="C230" s="95" t="str">
        <f>'Active and Pre-IPO SPACs'!C231</f>
        <v>Searching</v>
      </c>
      <c r="D230" s="101" t="str">
        <f>'Active and Pre-IPO SPACs'!D231</f>
        <v>InsureTech, Insurance</v>
      </c>
      <c r="E230" s="96" t="str">
        <f>'Active and Pre-IPO SPACs'!E231</f>
        <v/>
      </c>
      <c r="F230" s="97" t="str">
        <f>'Active and Pre-IPO SPACs'!F231</f>
        <v>Senator E. Benjamin Nelson (Fmr CEO, NAIC; US Senator from Nebraska); Paul Britton Newhouse (Fmr Chairman, Guy Carpenter &amp; Co)</v>
      </c>
      <c r="G230" s="98">
        <f>'Active and Pre-IPO SPACs'!P231</f>
        <v>44175</v>
      </c>
      <c r="H230" s="99">
        <f>'Active and Pre-IPO SPACs'!Q231</f>
        <v>201.25</v>
      </c>
      <c r="I230" s="100" t="str">
        <f>'Active and Pre-IPO SPACs'!M231</f>
        <v>U: [1/2 W]; W: [1:1, $11.5]</v>
      </c>
    </row>
    <row r="231">
      <c r="A231" s="78" t="str">
        <f>'Active and Pre-IPO SPACs'!A232</f>
        <v>EAC</v>
      </c>
      <c r="B231" s="95" t="str">
        <f>'Active and Pre-IPO SPACs'!B232</f>
        <v>Edify Acquisition Corp.</v>
      </c>
      <c r="C231" s="95" t="str">
        <f>'Active and Pre-IPO SPACs'!C232</f>
        <v>Searching</v>
      </c>
      <c r="D231" s="101" t="str">
        <f>'Active and Pre-IPO SPACs'!D232</f>
        <v>Education, EdTech, Workforce Development, Human Capital Management</v>
      </c>
      <c r="E231" s="96" t="str">
        <f>'Active and Pre-IPO SPACs'!E232</f>
        <v/>
      </c>
      <c r="F231" s="97" t="str">
        <f>'Active and Pre-IPO SPACs'!F232</f>
        <v/>
      </c>
      <c r="G231" s="98">
        <f>'Active and Pre-IPO SPACs'!P232</f>
        <v>44210</v>
      </c>
      <c r="H231" s="99">
        <f>'Active and Pre-IPO SPACs'!Q232</f>
        <v>276</v>
      </c>
      <c r="I231" s="100" t="str">
        <f>'Active and Pre-IPO SPACs'!M232</f>
        <v>U: [1/2 W]; W: [1:1, $11.5]</v>
      </c>
    </row>
    <row r="232">
      <c r="A232" s="78" t="str">
        <f>'Active and Pre-IPO SPACs'!A233</f>
        <v>EBAC</v>
      </c>
      <c r="B232" s="95" t="str">
        <f>'Active and Pre-IPO SPACs'!B233</f>
        <v>European Biotech Acquisition Corp.</v>
      </c>
      <c r="C232" s="95" t="str">
        <f>'Active and Pre-IPO SPACs'!C233</f>
        <v>Searching (Pre Unit Split)</v>
      </c>
      <c r="D232" s="101" t="str">
        <f>'Active and Pre-IPO SPACs'!D233</f>
        <v>Life Sciences, Healthcare (Europe)</v>
      </c>
      <c r="E232" s="96" t="str">
        <f>'Active and Pre-IPO SPACs'!E233</f>
        <v/>
      </c>
      <c r="F232" s="97" t="str">
        <f>'Active and Pre-IPO SPACs'!F233</f>
        <v/>
      </c>
      <c r="G232" s="98">
        <f>'Active and Pre-IPO SPACs'!P233</f>
        <v>44270</v>
      </c>
      <c r="H232" s="99">
        <f>'Active and Pre-IPO SPACs'!Q233</f>
        <v>120</v>
      </c>
      <c r="I232" s="100" t="str">
        <f>'Active and Pre-IPO SPACs'!M233</f>
        <v>U: [1/3 W]; W: [1:1, $11.5]</v>
      </c>
    </row>
    <row r="233">
      <c r="A233" s="78" t="str">
        <f>'Active and Pre-IPO SPACs'!A234</f>
        <v>EDTX</v>
      </c>
      <c r="B233" s="95" t="str">
        <f>'Active and Pre-IPO SPACs'!B234</f>
        <v>EdtechX Holdings Acquisition Corp. II</v>
      </c>
      <c r="C233" s="95" t="str">
        <f>'Active and Pre-IPO SPACs'!C234</f>
        <v>Searching</v>
      </c>
      <c r="D233" s="101" t="str">
        <f>'Active and Pre-IPO SPACs'!D234</f>
        <v>Education, EdTech</v>
      </c>
      <c r="E233" s="96" t="str">
        <f>'Active and Pre-IPO SPACs'!E234</f>
        <v/>
      </c>
      <c r="F233" s="97" t="str">
        <f>'Active and Pre-IPO SPACs'!F234</f>
        <v>Charles McIntyre (EdTechX I)</v>
      </c>
      <c r="G233" s="98">
        <f>'Active and Pre-IPO SPACs'!P234</f>
        <v>44175</v>
      </c>
      <c r="H233" s="99">
        <f>'Active and Pre-IPO SPACs'!Q234</f>
        <v>116.7</v>
      </c>
      <c r="I233" s="100" t="str">
        <f>'Active and Pre-IPO SPACs'!M234</f>
        <v>U: [1/2 W]; W: [1:1, $11.5]</v>
      </c>
    </row>
    <row r="234">
      <c r="A234" s="78" t="str">
        <f>'Active and Pre-IPO SPACs'!A235</f>
        <v>EGGF</v>
      </c>
      <c r="B234" s="95" t="str">
        <f>'Active and Pre-IPO SPACs'!B235</f>
        <v>EG Acquisition Corp.</v>
      </c>
      <c r="C234" s="95" t="str">
        <f>'Active and Pre-IPO SPACs'!C235</f>
        <v>Pre IPO</v>
      </c>
      <c r="D234" s="101" t="str">
        <f>'Active and Pre-IPO SPACs'!D235</f>
        <v>Transportation and real assets, financial services, fintech, healthcare, real estate, and sustainability-focused businesses.</v>
      </c>
      <c r="E234" s="96" t="str">
        <f>'Active and Pre-IPO SPACs'!E235</f>
        <v/>
      </c>
      <c r="F234" s="97" t="str">
        <f>'Active and Pre-IPO SPACs'!F235</f>
        <v>Gregg Hymowitz (Chairman &amp; CEO of EnTrust Global), Linda Hall Daschle (Former FAA Deputy Administrator), Jonathan Silver (Director of National Grid and Plug Power)</v>
      </c>
      <c r="G234" s="98" t="str">
        <f>'Active and Pre-IPO SPACs'!P235</f>
        <v/>
      </c>
      <c r="H234" s="99">
        <f>'Active and Pre-IPO SPACs'!Q235</f>
        <v>250</v>
      </c>
      <c r="I234" s="100" t="str">
        <f>'Active and Pre-IPO SPACs'!M235</f>
        <v>U: [1/3 W]; W: [1:1, $11.5]</v>
      </c>
    </row>
    <row r="235">
      <c r="A235" s="78" t="str">
        <f>'Active and Pre-IPO SPACs'!A236</f>
        <v>EIPA</v>
      </c>
      <c r="B235" s="95" t="str">
        <f>'Active and Pre-IPO SPACs'!B236</f>
        <v>EIP Acquisition Corp I</v>
      </c>
      <c r="C235" s="95" t="str">
        <f>'Active and Pre-IPO SPACs'!C236</f>
        <v>Pre IPO</v>
      </c>
      <c r="D235" s="101" t="str">
        <f>'Active and Pre-IPO SPACs'!D236</f>
        <v>Decarbonization, Energy Transition</v>
      </c>
      <c r="E235" s="96" t="str">
        <f>'Active and Pre-IPO SPACs'!E236</f>
        <v/>
      </c>
      <c r="F235" s="97" t="str">
        <f>'Active and Pre-IPO SPACs'!F236</f>
        <v/>
      </c>
      <c r="G235" s="98" t="str">
        <f>'Active and Pre-IPO SPACs'!P236</f>
        <v/>
      </c>
      <c r="H235" s="99">
        <f>'Active and Pre-IPO SPACs'!Q236</f>
        <v>300</v>
      </c>
      <c r="I235" s="100" t="str">
        <f>'Active and Pre-IPO SPACs'!M236</f>
        <v>U: [1/3 W]; W: [1:1, $11.5]</v>
      </c>
    </row>
    <row r="236">
      <c r="A236" s="78" t="str">
        <f>'Active and Pre-IPO SPACs'!A237</f>
        <v>EJFA</v>
      </c>
      <c r="B236" s="95" t="str">
        <f>'Active and Pre-IPO SPACs'!B237</f>
        <v>EJF Acquisition Corp.</v>
      </c>
      <c r="C236" s="95" t="str">
        <f>'Active and Pre-IPO SPACs'!C237</f>
        <v>Searching (Pre Unit Split)</v>
      </c>
      <c r="D236" s="101" t="str">
        <f>'Active and Pre-IPO SPACs'!D237</f>
        <v>Financial Services</v>
      </c>
      <c r="E236" s="96" t="str">
        <f>'Active and Pre-IPO SPACs'!E237</f>
        <v/>
      </c>
      <c r="F236" s="97" t="str">
        <f>'Active and Pre-IPO SPACs'!F237</f>
        <v>Robert Wolf (Fmr COO, UBS)</v>
      </c>
      <c r="G236" s="98">
        <f>'Active and Pre-IPO SPACs'!P237</f>
        <v>44251</v>
      </c>
      <c r="H236" s="99">
        <f>'Active and Pre-IPO SPACs'!Q237</f>
        <v>287.5</v>
      </c>
      <c r="I236" s="100" t="str">
        <f>'Active and Pre-IPO SPACs'!M237</f>
        <v>U: [1/3 W]; W: [1:1, $11.5]</v>
      </c>
    </row>
    <row r="237">
      <c r="A237" s="78" t="str">
        <f>'Active and Pre-IPO SPACs'!A238</f>
        <v>EMPW</v>
      </c>
      <c r="B237" s="95" t="str">
        <f>'Active and Pre-IPO SPACs'!B238</f>
        <v>Empower Ltd.</v>
      </c>
      <c r="C237" s="95" t="str">
        <f>'Active and Pre-IPO SPACs'!C238</f>
        <v>Definitive Agreement</v>
      </c>
      <c r="D237" s="91" t="str">
        <f>'Active and Pre-IPO SPACs'!D238</f>
        <v>Consumer products, Retail, Services, Experiences</v>
      </c>
      <c r="E237" s="96" t="str">
        <f>'Active and Pre-IPO SPACs'!E238</f>
        <v>Holley [DA: 03/12/21]</v>
      </c>
      <c r="F237" s="97" t="str">
        <f>'Active and Pre-IPO SPACs'!F238</f>
        <v>Matthew Rubel (Fmr CEO, Varsity Brands, Collective Brands, Cole Haan); Beth Kaplan (Fmr COO, 
Rent the Runway)</v>
      </c>
      <c r="G237" s="98">
        <f>'Active and Pre-IPO SPACs'!P238</f>
        <v>44111</v>
      </c>
      <c r="H237" s="99">
        <f>'Active and Pre-IPO SPACs'!Q238</f>
        <v>250</v>
      </c>
      <c r="I237" s="100" t="str">
        <f>'Active and Pre-IPO SPACs'!M238</f>
        <v>U: [1/3 W]; W: [1:1, $11.5]</v>
      </c>
    </row>
    <row r="238">
      <c r="A238" s="78" t="str">
        <f>'Active and Pre-IPO SPACs'!A239</f>
        <v>ENFA</v>
      </c>
      <c r="B238" s="95" t="str">
        <f>'Active and Pre-IPO SPACs'!B239</f>
        <v>890 5th Avenue Partners, Inc.</v>
      </c>
      <c r="C238" s="95" t="str">
        <f>'Active and Pre-IPO SPACs'!C239</f>
        <v>Searching</v>
      </c>
      <c r="D238" s="101" t="str">
        <f>'Active and Pre-IPO SPACs'!D239</f>
        <v>Tech, Media, Telecom (TMT)</v>
      </c>
      <c r="E238" s="96" t="str">
        <f>'Active and Pre-IPO SPACs'!E239</f>
        <v>[In talks (unconfirmed) with Buzzfeed: Per Bloomberg 3/10/21]</v>
      </c>
      <c r="F238" s="97" t="str">
        <f>'Active and Pre-IPO SPACs'!F239</f>
        <v>Adam Rothstein (GP, Distruptive Technology Partners), Emiliano Calemzuk (Director, MercadoLibre; Fmr Pres, Fox Television Studios), Scott Flanders (CEO, eHealth; Fmr CEO, Playboy Enterprises)</v>
      </c>
      <c r="G238" s="98">
        <f>'Active and Pre-IPO SPACs'!P239</f>
        <v>44207</v>
      </c>
      <c r="H238" s="99">
        <f>'Active and Pre-IPO SPACs'!Q239</f>
        <v>287.5</v>
      </c>
      <c r="I238" s="100" t="str">
        <f>'Active and Pre-IPO SPACs'!M239</f>
        <v>U: [1/3 W]; W: [1:1, $11.5]</v>
      </c>
    </row>
    <row r="239">
      <c r="A239" s="78" t="str">
        <f>'Active and Pre-IPO SPACs'!A240</f>
        <v>ENNV</v>
      </c>
      <c r="B239" s="95" t="str">
        <f>'Active and Pre-IPO SPACs'!B240</f>
        <v>ECP Environmental Growth Opportunities Corp.</v>
      </c>
      <c r="C239" s="95" t="str">
        <f>'Active and Pre-IPO SPACs'!C240</f>
        <v>Searching</v>
      </c>
      <c r="D239" s="91" t="str">
        <f>'Active and Pre-IPO SPACs'!D240</f>
        <v>Sustainable energy production, Sustainability</v>
      </c>
      <c r="E239" s="96" t="str">
        <f>'Active and Pre-IPO SPACs'!E240</f>
        <v/>
      </c>
      <c r="F239" s="97" t="str">
        <f>'Active and Pre-IPO SPACs'!F240</f>
        <v>Doug Kimmelman (Founder, Energy Capital Partners)</v>
      </c>
      <c r="G239" s="98">
        <f>'Active and Pre-IPO SPACs'!P240</f>
        <v>44235</v>
      </c>
      <c r="H239" s="99">
        <f>'Active and Pre-IPO SPACs'!Q240</f>
        <v>345</v>
      </c>
      <c r="I239" s="100" t="str">
        <f>'Active and Pre-IPO SPACs'!M240</f>
        <v>U: [1/4 W]; W: [1:1, $11.5]</v>
      </c>
    </row>
    <row r="240">
      <c r="A240" s="78" t="str">
        <f>'Active and Pre-IPO SPACs'!A241</f>
        <v>ENPC</v>
      </c>
      <c r="B240" s="95" t="str">
        <f>'Active and Pre-IPO SPACs'!B241</f>
        <v>Executive Network Partnering Corp.</v>
      </c>
      <c r="C240" s="95" t="str">
        <f>'Active and Pre-IPO SPACs'!C241</f>
        <v>Searching</v>
      </c>
      <c r="D240" s="91" t="str">
        <f>'Active and Pre-IPO SPACs'!D241</f>
        <v/>
      </c>
      <c r="E240" s="96" t="str">
        <f>'Active and Pre-IPO SPACs'!E241</f>
        <v/>
      </c>
      <c r="F240" s="97" t="str">
        <f>'Active and Pre-IPO SPACs'!F241</f>
        <v>Paul Ryan (Former Speaker of the House), Alex Dunn (Former President, Vivint Smart Home)</v>
      </c>
      <c r="G240" s="98">
        <f>'Active and Pre-IPO SPACs'!P241</f>
        <v>44090</v>
      </c>
      <c r="H240" s="99">
        <f>'Active and Pre-IPO SPACs'!Q241</f>
        <v>414</v>
      </c>
      <c r="I240" s="100" t="str">
        <f>'Active and Pre-IPO SPACs'!M241</f>
        <v>U: [$25, 1/4 W]; W: [1:1, $28.75]</v>
      </c>
    </row>
    <row r="241">
      <c r="A241" s="78" t="str">
        <f>'Active and Pre-IPO SPACs'!A242</f>
        <v>ENVI</v>
      </c>
      <c r="B241" s="95" t="str">
        <f>'Active and Pre-IPO SPACs'!B242</f>
        <v>Environmental Impact Acquisition Corp.</v>
      </c>
      <c r="C241" s="95" t="str">
        <f>'Active and Pre-IPO SPACs'!C242</f>
        <v>Searching</v>
      </c>
      <c r="D241" s="91" t="str">
        <f>'Active and Pre-IPO SPACs'!D242</f>
        <v>Sustainability</v>
      </c>
      <c r="E241" s="96" t="str">
        <f>'Active and Pre-IPO SPACs'!E242</f>
        <v/>
      </c>
      <c r="F241" s="97" t="str">
        <f>'Active and Pre-IPO SPACs'!F242</f>
        <v>Daniel Coyne (Co-Head US Investment Banking, Canaccord)</v>
      </c>
      <c r="G241" s="98">
        <f>'Active and Pre-IPO SPACs'!P242</f>
        <v>44209</v>
      </c>
      <c r="H241" s="99">
        <f>'Active and Pre-IPO SPACs'!Q242</f>
        <v>207</v>
      </c>
      <c r="I241" s="100" t="str">
        <f>'Active and Pre-IPO SPACs'!M242</f>
        <v>U: [1/2 W]; W: [1:1, $11.5]</v>
      </c>
    </row>
    <row r="242">
      <c r="A242" s="78" t="str">
        <f>'Active and Pre-IPO SPACs'!A243</f>
        <v>EPHY</v>
      </c>
      <c r="B242" s="95" t="str">
        <f>'Active and Pre-IPO SPACs'!B243</f>
        <v>Epiphany Technology Acquisition Corp.</v>
      </c>
      <c r="C242" s="95" t="str">
        <f>'Active and Pre-IPO SPACs'!C243</f>
        <v>Searching</v>
      </c>
      <c r="D242" s="91" t="str">
        <f>'Active and Pre-IPO SPACs'!D243</f>
        <v>Tech</v>
      </c>
      <c r="E242" s="96" t="str">
        <f>'Active and Pre-IPO SPACs'!E243</f>
        <v/>
      </c>
      <c r="F242" s="97" t="str">
        <f>'Active and Pre-IPO SPACs'!F243</f>
        <v>Arthur Coviello (Fmr Pres/CEO, RSA), JD Sherman (Fmr COO, HubSpot)</v>
      </c>
      <c r="G242" s="98">
        <f>'Active and Pre-IPO SPACs'!P243</f>
        <v>44203</v>
      </c>
      <c r="H242" s="99">
        <f>'Active and Pre-IPO SPACs'!Q243</f>
        <v>402.5</v>
      </c>
      <c r="I242" s="100" t="str">
        <f>'Active and Pre-IPO SPACs'!M243</f>
        <v>U: [1/3 W]; W: [1:1, $11.5]</v>
      </c>
    </row>
    <row r="243">
      <c r="A243" s="78" t="str">
        <f>'Active and Pre-IPO SPACs'!A244</f>
        <v>EPWR</v>
      </c>
      <c r="B243" s="95" t="str">
        <f>'Active and Pre-IPO SPACs'!B244</f>
        <v>Empowerment &amp; Inclusion Capital I Corp.</v>
      </c>
      <c r="C243" s="95" t="str">
        <f>'Active and Pre-IPO SPACs'!C244</f>
        <v>Searching</v>
      </c>
      <c r="D243" s="91" t="str">
        <f>'Active and Pre-IPO SPACs'!D244</f>
        <v>Diverse or Inclusive </v>
      </c>
      <c r="E243" s="96" t="str">
        <f>'Active and Pre-IPO SPACs'!E244</f>
        <v/>
      </c>
      <c r="F243" s="97" t="str">
        <f>'Active and Pre-IPO SPACs'!F244</f>
        <v>Harold Ford Jr. (Fmr US Congressman - TN, Exec VP Corporate Banking, PNC)</v>
      </c>
      <c r="G243" s="98">
        <f>'Active and Pre-IPO SPACs'!P244</f>
        <v>44203</v>
      </c>
      <c r="H243" s="99">
        <f>'Active and Pre-IPO SPACs'!Q244</f>
        <v>276</v>
      </c>
      <c r="I243" s="100" t="str">
        <f>'Active and Pre-IPO SPACs'!M244</f>
        <v>U: [1/2 W]; W: [1:1, $11.5]</v>
      </c>
    </row>
    <row r="244">
      <c r="A244" s="78" t="str">
        <f>'Active and Pre-IPO SPACs'!A245</f>
        <v>EQD</v>
      </c>
      <c r="B244" s="95" t="str">
        <f>'Active and Pre-IPO SPACs'!B245</f>
        <v>Equity Distribution Acquisition Corp.</v>
      </c>
      <c r="C244" s="95" t="str">
        <f>'Active and Pre-IPO SPACs'!C245</f>
        <v>Searching</v>
      </c>
      <c r="D244" s="91" t="str">
        <f>'Active and Pre-IPO SPACs'!D245</f>
        <v>Industrial Tech, Industrial Distribution Tech</v>
      </c>
      <c r="E244" s="96" t="str">
        <f>'Active and Pre-IPO SPACs'!E245</f>
        <v/>
      </c>
      <c r="F244" s="97" t="str">
        <f>'Active and Pre-IPO SPACs'!F245</f>
        <v>Sam Zell (Chairman, EGI; Chairman, Equity Residential), Bill Simon (Former CEO of Walmart US)</v>
      </c>
      <c r="G244" s="98">
        <f>'Active and Pre-IPO SPACs'!P245</f>
        <v>44090</v>
      </c>
      <c r="H244" s="99">
        <f>'Active and Pre-IPO SPACs'!Q245</f>
        <v>414</v>
      </c>
      <c r="I244" s="100" t="str">
        <f>'Active and Pre-IPO SPACs'!M245</f>
        <v>U: [1/3 W]; W: [1:1, $11.5]</v>
      </c>
    </row>
    <row r="245">
      <c r="A245" s="78" t="str">
        <f>'Active and Pre-IPO SPACs'!A246</f>
        <v>EQHA</v>
      </c>
      <c r="B245" s="95" t="str">
        <f>'Active and Pre-IPO SPACs'!B246</f>
        <v>EQ Health Acquisition Corp.</v>
      </c>
      <c r="C245" s="95" t="str">
        <f>'Active and Pre-IPO SPACs'!C246</f>
        <v>Searching</v>
      </c>
      <c r="D245" s="91" t="str">
        <f>'Active and Pre-IPO SPACs'!D246</f>
        <v>Healthcare Services</v>
      </c>
      <c r="E245" s="96" t="str">
        <f>'Active and Pre-IPO SPACs'!E246</f>
        <v/>
      </c>
      <c r="F245" s="97" t="str">
        <f>'Active and Pre-IPO SPACs'!F246</f>
        <v/>
      </c>
      <c r="G245" s="98">
        <f>'Active and Pre-IPO SPACs'!P246</f>
        <v>44225</v>
      </c>
      <c r="H245" s="99">
        <f>'Active and Pre-IPO SPACs'!Q246</f>
        <v>219.9996</v>
      </c>
      <c r="I245" s="100" t="str">
        <f>'Active and Pre-IPO SPACs'!M246</f>
        <v>U: [1/2 W]; W: [1:1, $11.5]</v>
      </c>
    </row>
    <row r="246">
      <c r="A246" s="78" t="str">
        <f>'Active and Pre-IPO SPACs'!A247</f>
        <v>ERES</v>
      </c>
      <c r="B246" s="95" t="str">
        <f>'Active and Pre-IPO SPACs'!B247</f>
        <v>East Resources Acquisition</v>
      </c>
      <c r="C246" s="95" t="str">
        <f>'Active and Pre-IPO SPACs'!C247</f>
        <v>Searching</v>
      </c>
      <c r="D246" s="101" t="str">
        <f>'Active and Pre-IPO SPACs'!D247</f>
        <v>Energy</v>
      </c>
      <c r="E246" s="96" t="str">
        <f>'Active and Pre-IPO SPACs'!E247</f>
        <v/>
      </c>
      <c r="F246" s="97" t="str">
        <f>'Active and Pre-IPO SPACs'!F247</f>
        <v>Terry Pegula (Owner Buffalo Bills, JKLM Energy)</v>
      </c>
      <c r="G246" s="98">
        <f>'Active and Pre-IPO SPACs'!P247</f>
        <v>44035</v>
      </c>
      <c r="H246" s="99">
        <f>'Active and Pre-IPO SPACs'!Q247</f>
        <v>345</v>
      </c>
      <c r="I246" s="100" t="str">
        <f>'Active and Pre-IPO SPACs'!M247</f>
        <v>U: [1/2 W]; W: [1:1, $11.5]</v>
      </c>
    </row>
    <row r="247">
      <c r="A247" s="78" t="str">
        <f>'Active and Pre-IPO SPACs'!A248</f>
        <v>ESM</v>
      </c>
      <c r="B247" s="95" t="str">
        <f>'Active and Pre-IPO SPACs'!B248</f>
        <v>ESM Acquisition Corp</v>
      </c>
      <c r="C247" s="95" t="str">
        <f>'Active and Pre-IPO SPACs'!C248</f>
        <v>Searching (Pre Unit Split)</v>
      </c>
      <c r="D247" s="101" t="str">
        <f>'Active and Pre-IPO SPACs'!D248</f>
        <v>Energy transition</v>
      </c>
      <c r="E247" s="96" t="str">
        <f>'Active and Pre-IPO SPACs'!E248</f>
        <v/>
      </c>
      <c r="F247" s="97" t="str">
        <f>'Active and Pre-IPO SPACs'!F248</f>
        <v>Mick Davis (Fmr CEO, Xstrata; Fmr CFO, Billiton; Fmr Exec Director, Eskom)</v>
      </c>
      <c r="G247" s="98">
        <f>'Active and Pre-IPO SPACs'!P248</f>
        <v>44264</v>
      </c>
      <c r="H247" s="99">
        <f>'Active and Pre-IPO SPACs'!Q248</f>
        <v>300</v>
      </c>
      <c r="I247" s="100" t="str">
        <f>'Active and Pre-IPO SPACs'!M248</f>
        <v>U: [1/3 W]; W: [1:1, $11.5]</v>
      </c>
    </row>
    <row r="248">
      <c r="A248" s="78" t="str">
        <f>'Active and Pre-IPO SPACs'!A249</f>
        <v>ESSC</v>
      </c>
      <c r="B248" s="95" t="str">
        <f>'Active and Pre-IPO SPACs'!B249</f>
        <v>East Stone Acquisition Corp</v>
      </c>
      <c r="C248" s="95" t="str">
        <f>'Active and Pre-IPO SPACs'!C249</f>
        <v>Definitive Agreement</v>
      </c>
      <c r="D248" s="101" t="str">
        <f>'Active and Pre-IPO SPACs'!D249</f>
        <v>Fintech</v>
      </c>
      <c r="E248" s="96" t="str">
        <f>'Active and Pre-IPO SPACs'!E249</f>
        <v>JHD Holdings (TERMINATED: Ufin Tek Limited 2/15) [DA: 02/18/21]</v>
      </c>
      <c r="F248" s="97" t="str">
        <f>'Active and Pre-IPO SPACs'!F249</f>
        <v/>
      </c>
      <c r="G248" s="98">
        <f>'Active and Pre-IPO SPACs'!P249</f>
        <v>43881</v>
      </c>
      <c r="H248" s="99">
        <f>'Active and Pre-IPO SPACs'!Q249</f>
        <v>138</v>
      </c>
      <c r="I248" s="100" t="str">
        <f>'Active and Pre-IPO SPACs'!M249</f>
        <v>U: [1 W, 1 R (1/10)]; W: [2:1, $11.5]</v>
      </c>
    </row>
    <row r="249">
      <c r="A249" s="78" t="str">
        <f>'Active and Pre-IPO SPACs'!A250</f>
        <v>ETA</v>
      </c>
      <c r="B249" s="95" t="str">
        <f>'Active and Pre-IPO SPACs'!B250</f>
        <v>Integrated Energy Transition Acquisition Corp.</v>
      </c>
      <c r="C249" s="95" t="str">
        <f>'Active and Pre-IPO SPACs'!C250</f>
        <v>Pre IPO</v>
      </c>
      <c r="D249" s="101" t="str">
        <f>'Active and Pre-IPO SPACs'!D250</f>
        <v>Natural Gas infrastructure and marketing</v>
      </c>
      <c r="E249" s="96" t="str">
        <f>'Active and Pre-IPO SPACs'!E250</f>
        <v/>
      </c>
      <c r="F249" s="97" t="str">
        <f>'Active and Pre-IPO SPACs'!F250</f>
        <v/>
      </c>
      <c r="G249" s="98" t="str">
        <f>'Active and Pre-IPO SPACs'!P250</f>
        <v/>
      </c>
      <c r="H249" s="99">
        <f>'Active and Pre-IPO SPACs'!Q250</f>
        <v>150</v>
      </c>
      <c r="I249" s="100" t="str">
        <f>'Active and Pre-IPO SPACs'!M250</f>
        <v>U: [1/2 W]; W: [1:1, $11.5]</v>
      </c>
    </row>
    <row r="250">
      <c r="A250" s="78" t="str">
        <f>'Active and Pre-IPO SPACs'!A251</f>
        <v>ETAC</v>
      </c>
      <c r="B250" s="95" t="str">
        <f>'Active and Pre-IPO SPACs'!B251</f>
        <v>E.Merge Technology Acquisition Corp</v>
      </c>
      <c r="C250" s="95" t="str">
        <f>'Active and Pre-IPO SPACs'!C251</f>
        <v>Searching</v>
      </c>
      <c r="D250" s="101" t="str">
        <f>'Active and Pre-IPO SPACs'!D251</f>
        <v>Tech, Software, Internet</v>
      </c>
      <c r="E250" s="96" t="str">
        <f>'Active and Pre-IPO SPACs'!E251</f>
        <v/>
      </c>
      <c r="F250" s="97" t="str">
        <f>'Active and Pre-IPO SPACs'!F251</f>
        <v>Jeff Clarke (former CEO of Eastman Kodak), Steve Singh (Managing Director of Madrona Venture Group)</v>
      </c>
      <c r="G250" s="98">
        <f>'Active and Pre-IPO SPACs'!P251</f>
        <v>44043</v>
      </c>
      <c r="H250" s="99">
        <f>'Active and Pre-IPO SPACs'!Q251</f>
        <v>600</v>
      </c>
      <c r="I250" s="100" t="str">
        <f>'Active and Pre-IPO SPACs'!M251</f>
        <v>U: [1/3 W]; W: [1:1, $11.5]</v>
      </c>
    </row>
    <row r="251">
      <c r="A251" s="78" t="str">
        <f>'Active and Pre-IPO SPACs'!A252</f>
        <v>EUCR</v>
      </c>
      <c r="B251" s="95" t="str">
        <f>'Active and Pre-IPO SPACs'!B252</f>
        <v>Eucrates Biomedical Acquisition Corp.</v>
      </c>
      <c r="C251" s="95" t="str">
        <f>'Active and Pre-IPO SPACs'!C252</f>
        <v>Searching</v>
      </c>
      <c r="D251" s="101" t="str">
        <f>'Active and Pre-IPO SPACs'!D252</f>
        <v>Healthcare, Biomedical</v>
      </c>
      <c r="E251" s="96" t="str">
        <f>'Active and Pre-IPO SPACs'!E252</f>
        <v/>
      </c>
      <c r="F251" s="97" t="str">
        <f>'Active and Pre-IPO SPACs'!F252</f>
        <v>Stelios Papadopoulos (Chairman, Biogen; Co-founder/Chairman Exelixis)</v>
      </c>
      <c r="G251" s="98">
        <f>'Active and Pre-IPO SPACs'!P252</f>
        <v>44127</v>
      </c>
      <c r="H251" s="99">
        <f>'Active and Pre-IPO SPACs'!Q252</f>
        <v>104.79626</v>
      </c>
      <c r="I251" s="100" t="str">
        <f>'Active and Pre-IPO SPACs'!M252</f>
        <v>U: [1/3 W]; W: [1:1, $11.5]</v>
      </c>
    </row>
    <row r="252">
      <c r="A252" s="78" t="str">
        <f>'Active and Pre-IPO SPACs'!A253</f>
        <v>EUSG</v>
      </c>
      <c r="B252" s="95" t="str">
        <f>'Active and Pre-IPO SPACs'!B253</f>
        <v>European Sustainable Growth Acquisition Corp.</v>
      </c>
      <c r="C252" s="95" t="str">
        <f>'Active and Pre-IPO SPACs'!C253</f>
        <v>Searching</v>
      </c>
      <c r="D252" s="101" t="str">
        <f>'Active and Pre-IPO SPACs'!D253</f>
        <v>Europe, Sustainability, Fintech, Edtech</v>
      </c>
      <c r="E252" s="96" t="str">
        <f>'Active and Pre-IPO SPACs'!E253</f>
        <v/>
      </c>
      <c r="F252" s="97" t="str">
        <f>'Active and Pre-IPO SPACs'!F253</f>
        <v>Lars Thunell (Fmr CEO, IFC)</v>
      </c>
      <c r="G252" s="98">
        <f>'Active and Pre-IPO SPACs'!P253</f>
        <v>44217</v>
      </c>
      <c r="H252" s="99">
        <f>'Active and Pre-IPO SPACs'!Q253</f>
        <v>143.75</v>
      </c>
      <c r="I252" s="100" t="str">
        <f>'Active and Pre-IPO SPACs'!M253</f>
        <v>U: [1/2 W]; W: [1:1, $11.5]</v>
      </c>
    </row>
    <row r="253">
      <c r="A253" s="78" t="str">
        <f>'Active and Pre-IPO SPACs'!A254</f>
        <v>EVOJ</v>
      </c>
      <c r="B253" s="95" t="str">
        <f>'Active and Pre-IPO SPACs'!B254</f>
        <v>Evo Acquisition Corp.</v>
      </c>
      <c r="C253" s="95" t="str">
        <f>'Active and Pre-IPO SPACs'!C254</f>
        <v>Searching</v>
      </c>
      <c r="D253" s="101" t="str">
        <f>'Active and Pre-IPO SPACs'!D254</f>
        <v>Tech, Financial</v>
      </c>
      <c r="E253" s="96" t="str">
        <f>'Active and Pre-IPO SPACs'!E254</f>
        <v/>
      </c>
      <c r="F253" s="97" t="str">
        <f>'Active and Pre-IPO SPACs'!F254</f>
        <v/>
      </c>
      <c r="G253" s="98">
        <f>'Active and Pre-IPO SPACs'!P254</f>
        <v>44235</v>
      </c>
      <c r="H253" s="99">
        <f>'Active and Pre-IPO SPACs'!Q254</f>
        <v>125.005</v>
      </c>
      <c r="I253" s="100" t="str">
        <f>'Active and Pre-IPO SPACs'!M254</f>
        <v>U: [1/2 W]; W: [1:1, $11.5]</v>
      </c>
    </row>
    <row r="254">
      <c r="A254" s="78" t="str">
        <f>'Active and Pre-IPO SPACs'!A255</f>
        <v>EXAC</v>
      </c>
      <c r="B254" s="95" t="str">
        <f>'Active and Pre-IPO SPACs'!B255</f>
        <v>Excolere Acquisition Corp.</v>
      </c>
      <c r="C254" s="95" t="str">
        <f>'Active and Pre-IPO SPACs'!C255</f>
        <v>Pre IPO</v>
      </c>
      <c r="D254" s="101" t="str">
        <f>'Active and Pre-IPO SPACs'!D255</f>
        <v>EdTech, Human Capital Tech</v>
      </c>
      <c r="E254" s="96" t="str">
        <f>'Active and Pre-IPO SPACs'!E255</f>
        <v/>
      </c>
      <c r="F254" s="97" t="str">
        <f>'Active and Pre-IPO SPACs'!F255</f>
        <v>Tony Miller (Co-founder/MP, Excolere Equity Partners; Fmr Deputy Secretary of U.S. Department of Education under Pres Obama), William Ethridge (Fmr CEO of Pearson North America)</v>
      </c>
      <c r="G254" s="98" t="str">
        <f>'Active and Pre-IPO SPACs'!P255</f>
        <v/>
      </c>
      <c r="H254" s="99">
        <f>'Active and Pre-IPO SPACs'!Q255</f>
        <v>200</v>
      </c>
      <c r="I254" s="100" t="str">
        <f>'Active and Pre-IPO SPACs'!M255</f>
        <v>U: [1/2 W]; W: [1:1, $11.5]</v>
      </c>
    </row>
    <row r="255">
      <c r="A255" s="78" t="str">
        <f>'Active and Pre-IPO SPACs'!A256</f>
        <v>EXPC</v>
      </c>
      <c r="B255" s="95" t="str">
        <f>'Active and Pre-IPO SPACs'!B256</f>
        <v>Experience Investment Corp</v>
      </c>
      <c r="C255" s="95" t="str">
        <f>'Active and Pre-IPO SPACs'!C256</f>
        <v>Definitive Agreement</v>
      </c>
      <c r="D255" s="91" t="str">
        <f>'Active and Pre-IPO SPACs'!D256</f>
        <v>Travel and Leisure</v>
      </c>
      <c r="E255" s="96" t="str">
        <f>'Active and Pre-IPO SPACs'!E256</f>
        <v>Blade [DA: 12/15/20]</v>
      </c>
      <c r="F255" s="97" t="str">
        <f>'Active and Pre-IPO SPACs'!F256</f>
        <v/>
      </c>
      <c r="G255" s="98">
        <f>'Active and Pre-IPO SPACs'!P256</f>
        <v>43721</v>
      </c>
      <c r="H255" s="99">
        <f>'Active and Pre-IPO SPACs'!Q256</f>
        <v>275</v>
      </c>
      <c r="I255" s="100" t="str">
        <f>'Active and Pre-IPO SPACs'!M256</f>
        <v>U: [1/3 W]; W: [1:1, $11.5]</v>
      </c>
    </row>
    <row r="256">
      <c r="A256" s="78" t="str">
        <f>'Active and Pre-IPO SPACs'!A257</f>
        <v>FACA</v>
      </c>
      <c r="B256" s="95" t="str">
        <f>'Active and Pre-IPO SPACs'!B257</f>
        <v>Figure Acquisition Corp. I</v>
      </c>
      <c r="C256" s="95" t="str">
        <f>'Active and Pre-IPO SPACs'!C257</f>
        <v>Searching (Pre Unit Split)</v>
      </c>
      <c r="D256" s="101" t="str">
        <f>'Active and Pre-IPO SPACs'!D257</f>
        <v>Fintech, Financial Services</v>
      </c>
      <c r="E256" s="96" t="str">
        <f>'Active and Pre-IPO SPACs'!E257</f>
        <v/>
      </c>
      <c r="F256" s="97" t="str">
        <f>'Active and Pre-IPO SPACs'!F257</f>
        <v>Michael Cagney (Fmr Chairman/CEO, SoFi), Asiff Hirji (Pres, Figure; Fmr COO, Coinbase, Fmr Operating Partner, Andreessen Horowitz; Fmr Partner, TPG Capital; Fmr COO, TD Ameritrade)</v>
      </c>
      <c r="G256" s="98">
        <f>'Active and Pre-IPO SPACs'!P257</f>
        <v>44245</v>
      </c>
      <c r="H256" s="99">
        <f>'Active and Pre-IPO SPACs'!Q257</f>
        <v>287.5</v>
      </c>
      <c r="I256" s="100" t="str">
        <f>'Active and Pre-IPO SPACs'!M257</f>
        <v>U: [1/4 W]; W: [1:1, $11.5]</v>
      </c>
    </row>
    <row r="257">
      <c r="A257" s="78" t="str">
        <f>'Active and Pre-IPO SPACs'!A258</f>
        <v>FACT</v>
      </c>
      <c r="B257" s="95" t="str">
        <f>'Active and Pre-IPO SPACs'!B258</f>
        <v>Freedom Acquisition I Corp.</v>
      </c>
      <c r="C257" s="95" t="str">
        <f>'Active and Pre-IPO SPACs'!C258</f>
        <v>Searching (Pre Unit Split)</v>
      </c>
      <c r="D257" s="101" t="str">
        <f>'Active and Pre-IPO SPACs'!D258</f>
        <v>Financial Services, Fintech</v>
      </c>
      <c r="E257" s="96" t="str">
        <f>'Active and Pre-IPO SPACs'!E258</f>
        <v/>
      </c>
      <c r="F257" s="97" t="str">
        <f>'Active and Pre-IPO SPACs'!F258</f>
        <v>Tidjane Thiam (Former CEO, Credit Suisse; Fmr CEO, Prudential plc; Fmr Director, 21st Century Fox; Director, Kering), PIMCO</v>
      </c>
      <c r="G257" s="98">
        <f>'Active and Pre-IPO SPACs'!P258</f>
        <v>44252</v>
      </c>
      <c r="H257" s="99">
        <f>'Active and Pre-IPO SPACs'!Q258</f>
        <v>345</v>
      </c>
      <c r="I257" s="100" t="str">
        <f>'Active and Pre-IPO SPACs'!M258</f>
        <v>U: [1/4 W]; W: [1:1, $11.5]</v>
      </c>
    </row>
    <row r="258">
      <c r="A258" s="78" t="str">
        <f>'Active and Pre-IPO SPACs'!A259</f>
        <v>FAII</v>
      </c>
      <c r="B258" s="95" t="str">
        <f>'Active and Pre-IPO SPACs'!B259</f>
        <v>Fortress Value Acquisition Corp. II</v>
      </c>
      <c r="C258" s="95" t="str">
        <f>'Active and Pre-IPO SPACs'!C259</f>
        <v>Definitive Agreement</v>
      </c>
      <c r="D258" s="91" t="str">
        <f>'Active and Pre-IPO SPACs'!D259</f>
        <v/>
      </c>
      <c r="E258" s="96" t="str">
        <f>'Active and Pre-IPO SPACs'!E259</f>
        <v>ATI Physical Therapy [DA: 02/22/21]</v>
      </c>
      <c r="F258" s="97" t="str">
        <f>'Active and Pre-IPO SPACs'!F259</f>
        <v>SoftBank, Rakefet Russak-Aminoach (Former CEO, Bank Leumi - largest bank in Israel)</v>
      </c>
      <c r="G258" s="98">
        <f>'Active and Pre-IPO SPACs'!P259</f>
        <v>44055</v>
      </c>
      <c r="H258" s="99">
        <f>'Active and Pre-IPO SPACs'!Q259</f>
        <v>345</v>
      </c>
      <c r="I258" s="100" t="str">
        <f>'Active and Pre-IPO SPACs'!M259</f>
        <v>U: [1/5 W]; W: [1:1, $11.5]</v>
      </c>
    </row>
    <row r="259">
      <c r="A259" s="78" t="str">
        <f>'Active and Pre-IPO SPACs'!A260</f>
        <v>FCAC</v>
      </c>
      <c r="B259" s="95" t="str">
        <f>'Active and Pre-IPO SPACs'!B260</f>
        <v>Falcon Capital Acquisition Corp.</v>
      </c>
      <c r="C259" s="95" t="str">
        <f>'Active and Pre-IPO SPACs'!C260</f>
        <v>Definitive Agreement</v>
      </c>
      <c r="D259" s="101" t="str">
        <f>'Active and Pre-IPO SPACs'!D260</f>
        <v>Media, Digital Media / Consumer Tech, Interactive Entertainment</v>
      </c>
      <c r="E259" s="96" t="str">
        <f>'Active and Pre-IPO SPACs'!E260</f>
        <v>Sharecare [DA: 02/12/21]</v>
      </c>
      <c r="F259" s="97" t="str">
        <f>'Active and Pre-IPO SPACs'!F260</f>
        <v>Alan Mnuchin (Board of Directors, FEAC and Target Hospitality), Jeff Sagansky (FEAC, Eagle Equity Partners)</v>
      </c>
      <c r="G259" s="98">
        <f>'Active and Pre-IPO SPACs'!P260</f>
        <v>44095</v>
      </c>
      <c r="H259" s="99">
        <f>'Active and Pre-IPO SPACs'!Q260</f>
        <v>345</v>
      </c>
      <c r="I259" s="100" t="str">
        <f>'Active and Pre-IPO SPACs'!M260</f>
        <v>U: [1/3 W]; W: [1:1, $11.5]</v>
      </c>
    </row>
    <row r="260">
      <c r="A260" s="78" t="str">
        <f>'Active and Pre-IPO SPACs'!A261</f>
        <v>FCAX</v>
      </c>
      <c r="B260" s="95" t="str">
        <f>'Active and Pre-IPO SPACs'!B261</f>
        <v>Fortress Capital Acquisition Corp.</v>
      </c>
      <c r="C260" s="95" t="str">
        <f>'Active and Pre-IPO SPACs'!C261</f>
        <v>Searching</v>
      </c>
      <c r="D260" s="91" t="str">
        <f>'Active and Pre-IPO SPACs'!D261</f>
        <v>Fintech, Financial Services</v>
      </c>
      <c r="E260" s="96" t="str">
        <f>'Active and Pre-IPO SPACs'!E261</f>
        <v/>
      </c>
      <c r="F260" s="97" t="str">
        <f>'Active and Pre-IPO SPACs'!F261</f>
        <v>Michael Nierenberg (Chairman/CEO, New Residential Investment Corp: NRZ; Managing Director, Fortress's Private Equity Group), Elizabeth Fascitelli (Fmr Partner/Managing Director, Goldman Sachs)</v>
      </c>
      <c r="G260" s="98">
        <f>'Active and Pre-IPO SPACs'!P261</f>
        <v>44209</v>
      </c>
      <c r="H260" s="99">
        <f>'Active and Pre-IPO SPACs'!Q261</f>
        <v>400</v>
      </c>
      <c r="I260" s="100" t="str">
        <f>'Active and Pre-IPO SPACs'!M261</f>
        <v>U: [1/5 W]; W: [1:1, $11.5]</v>
      </c>
    </row>
    <row r="261">
      <c r="A261" s="78" t="str">
        <f>'Active and Pre-IPO SPACs'!A262</f>
        <v>FGNA</v>
      </c>
      <c r="B261" s="95" t="str">
        <f>'Active and Pre-IPO SPACs'!B262</f>
        <v>FG New America Acquisition Corp.</v>
      </c>
      <c r="C261" s="95" t="str">
        <f>'Active and Pre-IPO SPACs'!C262</f>
        <v>Definitive Agreement</v>
      </c>
      <c r="D261" s="101" t="str">
        <f>'Active and Pre-IPO SPACs'!D262</f>
        <v>FinTech, InsureTech, Financial Services, Insurance</v>
      </c>
      <c r="E261" s="96" t="str">
        <f>'Active and Pre-IPO SPACs'!E262</f>
        <v>OppFi [DA: 02/10/21]</v>
      </c>
      <c r="F261" s="97" t="str">
        <f>'Active and Pre-IPO SPACs'!F262</f>
        <v>Joseph Moglia (Chairman and Former CEO, TD Ameritrade)</v>
      </c>
      <c r="G261" s="98">
        <f>'Active and Pre-IPO SPACs'!P262</f>
        <v>44103</v>
      </c>
      <c r="H261" s="99">
        <f>'Active and Pre-IPO SPACs'!Q262</f>
        <v>237.75</v>
      </c>
      <c r="I261" s="100" t="str">
        <f>'Active and Pre-IPO SPACs'!M262</f>
        <v>U: [1/2 W]; W: [1:1, $11.5]</v>
      </c>
    </row>
    <row r="262">
      <c r="A262" s="78" t="str">
        <f>'Active and Pre-IPO SPACs'!A263</f>
        <v>FGNB</v>
      </c>
      <c r="B262" s="95" t="str">
        <f>'Active and Pre-IPO SPACs'!B263</f>
        <v>FG New America Acquisition II Corp</v>
      </c>
      <c r="C262" s="95" t="str">
        <f>'Active and Pre-IPO SPACs'!C263</f>
        <v>Pre IPO</v>
      </c>
      <c r="D262" s="101" t="str">
        <f>'Active and Pre-IPO SPACs'!D263</f>
        <v>FinTech, InsureTech, Financial Services, Insurance</v>
      </c>
      <c r="E262" s="96" t="str">
        <f>'Active and Pre-IPO SPACs'!E263</f>
        <v/>
      </c>
      <c r="F262" s="97" t="str">
        <f>'Active and Pre-IPO SPACs'!F263</f>
        <v>Joseph Moglia (Chairman and Former CEO, TD Ameritrade)</v>
      </c>
      <c r="G262" s="98" t="str">
        <f>'Active and Pre-IPO SPACs'!P263</f>
        <v/>
      </c>
      <c r="H262" s="99">
        <f>'Active and Pre-IPO SPACs'!Q263</f>
        <v>225</v>
      </c>
      <c r="I262" s="100" t="str">
        <f>'Active and Pre-IPO SPACs'!M263</f>
        <v>U: [1/3 W]; W: [1:1, $11.5]</v>
      </c>
    </row>
    <row r="263">
      <c r="A263" s="78" t="str">
        <f>'Active and Pre-IPO SPACs'!A264</f>
        <v>FIII</v>
      </c>
      <c r="B263" s="95" t="str">
        <f>'Active and Pre-IPO SPACs'!B264</f>
        <v>Forum Merger III Corporation</v>
      </c>
      <c r="C263" s="95" t="str">
        <f>'Active and Pre-IPO SPACs'!C264</f>
        <v>Definitive Agreement</v>
      </c>
      <c r="D263" s="91" t="str">
        <f>'Active and Pre-IPO SPACs'!D264</f>
        <v/>
      </c>
      <c r="E263" s="96" t="str">
        <f>'Active and Pre-IPO SPACs'!E264</f>
        <v>Electric Last Mile Solutions [DA: 12/10/20]</v>
      </c>
      <c r="F263" s="97" t="str">
        <f>'Active and Pre-IPO SPACs'!F264</f>
        <v>Marshall Kiev and David Boris (Forum I &amp; II)</v>
      </c>
      <c r="G263" s="98">
        <f>'Active and Pre-IPO SPACs'!P264</f>
        <v>44061</v>
      </c>
      <c r="H263" s="99">
        <f>'Active and Pre-IPO SPACs'!Q264</f>
        <v>250</v>
      </c>
      <c r="I263" s="100" t="str">
        <f>'Active and Pre-IPO SPACs'!M264</f>
        <v>U: [1/4 W]; W: [1:1, $11.5]</v>
      </c>
    </row>
    <row r="264">
      <c r="A264" s="78" t="str">
        <f>'Active and Pre-IPO SPACs'!A265</f>
        <v>FINM</v>
      </c>
      <c r="B264" s="95" t="str">
        <f>'Active and Pre-IPO SPACs'!B265</f>
        <v>Marlin Technology Corporation</v>
      </c>
      <c r="C264" s="95" t="str">
        <f>'Active and Pre-IPO SPACs'!C265</f>
        <v>Searching</v>
      </c>
      <c r="D264" s="101" t="str">
        <f>'Active and Pre-IPO SPACs'!D265</f>
        <v>Tech</v>
      </c>
      <c r="E264" s="96" t="str">
        <f>'Active and Pre-IPO SPACs'!E265</f>
        <v/>
      </c>
      <c r="F264" s="97" t="str">
        <f>'Active and Pre-IPO SPACs'!F265</f>
        <v/>
      </c>
      <c r="G264" s="98">
        <f>'Active and Pre-IPO SPACs'!P265</f>
        <v>44209</v>
      </c>
      <c r="H264" s="99">
        <f>'Active and Pre-IPO SPACs'!Q265</f>
        <v>414</v>
      </c>
      <c r="I264" s="100" t="str">
        <f>'Active and Pre-IPO SPACs'!M265</f>
        <v>U: [1/3 W]; W: [1:1, $11.5]</v>
      </c>
    </row>
    <row r="265">
      <c r="A265" s="78" t="str">
        <f>'Active and Pre-IPO SPACs'!A266</f>
        <v>FLAC</v>
      </c>
      <c r="B265" s="95" t="str">
        <f>'Active and Pre-IPO SPACs'!B266</f>
        <v>Frazier Lifesciences Acquisition Corp</v>
      </c>
      <c r="C265" s="95" t="str">
        <f>'Active and Pre-IPO SPACs'!C266</f>
        <v>Searching</v>
      </c>
      <c r="D265" s="91" t="str">
        <f>'Active and Pre-IPO SPACs'!D266</f>
        <v>BioTech, Healthcare</v>
      </c>
      <c r="E265" s="96" t="str">
        <f>'Active and Pre-IPO SPACs'!E266</f>
        <v/>
      </c>
      <c r="F265" s="97" t="str">
        <f>'Active and Pre-IPO SPACs'!F266</f>
        <v/>
      </c>
      <c r="G265" s="98">
        <f>'Active and Pre-IPO SPACs'!P266</f>
        <v>44174</v>
      </c>
      <c r="H265" s="99">
        <f>'Active and Pre-IPO SPACs'!Q266</f>
        <v>138</v>
      </c>
      <c r="I265" s="100" t="str">
        <f>'Active and Pre-IPO SPACs'!M266</f>
        <v>U: [1/3 W]; W: [1:1, $11.5]</v>
      </c>
    </row>
    <row r="266">
      <c r="A266" s="78" t="str">
        <f>'Active and Pre-IPO SPACs'!A267</f>
        <v>FLME</v>
      </c>
      <c r="B266" s="95" t="str">
        <f>'Active and Pre-IPO SPACs'!B267</f>
        <v>Flame Acquisition Corp.</v>
      </c>
      <c r="C266" s="95" t="str">
        <f>'Active and Pre-IPO SPACs'!C267</f>
        <v>Searching (Pre Unit Split)</v>
      </c>
      <c r="D266" s="91" t="str">
        <f>'Active and Pre-IPO SPACs'!D267</f>
        <v/>
      </c>
      <c r="E266" s="96" t="str">
        <f>'Active and Pre-IPO SPACs'!E267</f>
        <v/>
      </c>
      <c r="F266" s="97" t="str">
        <f>'Active and Pre-IPO SPACs'!F267</f>
        <v/>
      </c>
      <c r="G266" s="98">
        <f>'Active and Pre-IPO SPACs'!P267</f>
        <v>44251</v>
      </c>
      <c r="H266" s="99">
        <f>'Active and Pre-IPO SPACs'!Q267</f>
        <v>287.5</v>
      </c>
      <c r="I266" s="100" t="str">
        <f>'Active and Pre-IPO SPACs'!M267</f>
        <v>U: [1/2 W]; W: [1:1, $11.5]</v>
      </c>
    </row>
    <row r="267">
      <c r="A267" s="78" t="str">
        <f>'Active and Pre-IPO SPACs'!A268</f>
        <v>FLSH</v>
      </c>
      <c r="B267" s="95" t="str">
        <f>'Active and Pre-IPO SPACs'!B268</f>
        <v>VIDA FLaSH Acquisitions</v>
      </c>
      <c r="C267" s="95" t="str">
        <f>'Active and Pre-IPO SPACs'!C268</f>
        <v>Pre IPO</v>
      </c>
      <c r="D267" s="101" t="str">
        <f>'Active and Pre-IPO SPACs'!D268</f>
        <v>Healthcare</v>
      </c>
      <c r="E267" s="96" t="str">
        <f>'Active and Pre-IPO SPACs'!E268</f>
        <v/>
      </c>
      <c r="F267" s="97" t="str">
        <f>'Active and Pre-IPO SPACs'!F268</f>
        <v>Dr. Frank Litvack (Fmr Chairman/CEO, Conor Medsystems)</v>
      </c>
      <c r="G267" s="98" t="str">
        <f>'Active and Pre-IPO SPACs'!P268</f>
        <v/>
      </c>
      <c r="H267" s="99">
        <f>'Active and Pre-IPO SPACs'!Q268</f>
        <v>175</v>
      </c>
      <c r="I267" s="100" t="str">
        <f>'Active and Pre-IPO SPACs'!M268</f>
        <v>U: [1/4 W]; W: [1:1, $11.5]</v>
      </c>
    </row>
    <row r="268">
      <c r="A268" s="78" t="str">
        <f>'Active and Pre-IPO SPACs'!A269</f>
        <v>FLYA</v>
      </c>
      <c r="B268" s="95" t="str">
        <f>'Active and Pre-IPO SPACs'!B269</f>
        <v>Soar Technology Acquisition Corp.</v>
      </c>
      <c r="C268" s="95" t="str">
        <f>'Active and Pre-IPO SPACs'!C269</f>
        <v>Pre IPO</v>
      </c>
      <c r="D268" s="91" t="str">
        <f>'Active and Pre-IPO SPACs'!D269</f>
        <v>Tech</v>
      </c>
      <c r="E268" s="96" t="str">
        <f>'Active and Pre-IPO SPACs'!E269</f>
        <v/>
      </c>
      <c r="F268" s="97" t="str">
        <f>'Active and Pre-IPO SPACs'!F269</f>
        <v>Joe Poulin (Fmr CEO, Luxury Retreats International; Director, WheelsUp), Peter Kern (CEO/Vice Chairman, Expedia Group), Patrick Pichette (Chairman, Twitter and Fmr CFO, Google)</v>
      </c>
      <c r="G268" s="98" t="str">
        <f>'Active and Pre-IPO SPACs'!P269</f>
        <v/>
      </c>
      <c r="H268" s="99">
        <f>'Active and Pre-IPO SPACs'!Q269</f>
        <v>250</v>
      </c>
      <c r="I268" s="100" t="str">
        <f>'Active and Pre-IPO SPACs'!M269</f>
        <v>U: [1/3 W]; W: [1:1, $11.5]</v>
      </c>
    </row>
    <row r="269">
      <c r="A269" s="78" t="str">
        <f>'Active and Pre-IPO SPACs'!A270</f>
        <v>FMAC</v>
      </c>
      <c r="B269" s="95" t="str">
        <f>'Active and Pre-IPO SPACs'!B270</f>
        <v>FirstMark Horizon Acquisition Corp.
</v>
      </c>
      <c r="C269" s="95" t="str">
        <f>'Active and Pre-IPO SPACs'!C270</f>
        <v>Searching</v>
      </c>
      <c r="D269" s="91" t="str">
        <f>'Active and Pre-IPO SPACs'!D270</f>
        <v>Tech</v>
      </c>
      <c r="E269" s="96" t="str">
        <f>'Active and Pre-IPO SPACs'!E270</f>
        <v/>
      </c>
      <c r="F269" s="97" t="str">
        <f>'Active and Pre-IPO SPACs'!F270</f>
        <v>Richard Heitzmann (Founder, FirstMark), Jason Robbins (CEO, Draft Kings), Luis Ubinas (Fmr Pres, Ford Foundation; Director, Electronic Arts)</v>
      </c>
      <c r="G269" s="98">
        <f>'Active and Pre-IPO SPACs'!P270</f>
        <v>44109</v>
      </c>
      <c r="H269" s="99">
        <f>'Active and Pre-IPO SPACs'!Q270</f>
        <v>414</v>
      </c>
      <c r="I269" s="100" t="str">
        <f>'Active and Pre-IPO SPACs'!M270</f>
        <v>U: [1/3 W]; W: [1:1, $11.5]</v>
      </c>
    </row>
    <row r="270">
      <c r="A270" s="78" t="str">
        <f>'Active and Pre-IPO SPACs'!A271</f>
        <v>FMIV</v>
      </c>
      <c r="B270" s="95" t="str">
        <f>'Active and Pre-IPO SPACs'!B271</f>
        <v>Forum Merger IV Corp</v>
      </c>
      <c r="C270" s="95" t="str">
        <f>'Active and Pre-IPO SPACs'!C271</f>
        <v>Searching (Pre Unit Split)</v>
      </c>
      <c r="D270" s="91" t="str">
        <f>'Active and Pre-IPO SPACs'!D271</f>
        <v/>
      </c>
      <c r="E270" s="96" t="str">
        <f>'Active and Pre-IPO SPACs'!E271</f>
        <v/>
      </c>
      <c r="F270" s="97" t="str">
        <f>'Active and Pre-IPO SPACs'!F271</f>
        <v>Marshall Kiev and David Boris</v>
      </c>
      <c r="G270" s="98">
        <f>'Active and Pre-IPO SPACs'!P271</f>
        <v>44272</v>
      </c>
      <c r="H270" s="99">
        <f>'Active and Pre-IPO SPACs'!Q271</f>
        <v>300</v>
      </c>
      <c r="I270" s="100" t="str">
        <f>'Active and Pre-IPO SPACs'!M271</f>
        <v>U: [1/4 W]; W: [1:1, $11.5]</v>
      </c>
    </row>
    <row r="271">
      <c r="A271" s="78" t="str">
        <f>'Active and Pre-IPO SPACs'!A272</f>
        <v>FORE</v>
      </c>
      <c r="B271" s="95" t="str">
        <f>'Active and Pre-IPO SPACs'!B272</f>
        <v>Foresight Acquisition Corp.</v>
      </c>
      <c r="C271" s="95" t="str">
        <f>'Active and Pre-IPO SPACs'!C272</f>
        <v>Searching</v>
      </c>
      <c r="D271" s="91" t="str">
        <f>'Active and Pre-IPO SPACs'!D272</f>
        <v>Consumer Tech, Healthcare Tech</v>
      </c>
      <c r="E271" s="96" t="str">
        <f>'Active and Pre-IPO SPACs'!E272</f>
        <v/>
      </c>
      <c r="F271" s="97" t="str">
        <f>'Active and Pre-IPO SPACs'!F272</f>
        <v>Greg Wasson (Fmr CEO, Walgreens)</v>
      </c>
      <c r="G271" s="98">
        <f>'Active and Pre-IPO SPACs'!P272</f>
        <v>44236</v>
      </c>
      <c r="H271" s="99">
        <f>'Active and Pre-IPO SPACs'!Q272</f>
        <v>316.25</v>
      </c>
      <c r="I271" s="100" t="str">
        <f>'Active and Pre-IPO SPACs'!M272</f>
        <v>U: [1/3 W]; W: [1:1, $11.5]</v>
      </c>
    </row>
    <row r="272">
      <c r="A272" s="78" t="str">
        <f>'Active and Pre-IPO SPACs'!A273</f>
        <v>FOXW</v>
      </c>
      <c r="B272" s="95" t="str">
        <f>'Active and Pre-IPO SPACs'!B273</f>
        <v>FoxWayne Enterprises Acquisition</v>
      </c>
      <c r="C272" s="95" t="str">
        <f>'Active and Pre-IPO SPACs'!C273</f>
        <v>Searching</v>
      </c>
      <c r="D272" s="91" t="str">
        <f>'Active and Pre-IPO SPACs'!D273</f>
        <v>BioTech, Telemedicine, Healthcare</v>
      </c>
      <c r="E272" s="96" t="str">
        <f>'Active and Pre-IPO SPACs'!E273</f>
        <v/>
      </c>
      <c r="F272" s="97" t="str">
        <f>'Active and Pre-IPO SPACs'!F273</f>
        <v/>
      </c>
      <c r="G272" s="98">
        <f>'Active and Pre-IPO SPACs'!P273</f>
        <v>44215</v>
      </c>
      <c r="H272" s="99">
        <f>'Active and Pre-IPO SPACs'!Q273</f>
        <v>57.5</v>
      </c>
      <c r="I272" s="100" t="str">
        <f>'Active and Pre-IPO SPACs'!M273</f>
        <v>U: [1 W]; W: [1:1, $11.5]</v>
      </c>
    </row>
    <row r="273">
      <c r="A273" s="78" t="str">
        <f>'Active and Pre-IPO SPACs'!A274</f>
        <v>FPAC</v>
      </c>
      <c r="B273" s="95" t="str">
        <f>'Active and Pre-IPO SPACs'!B274</f>
        <v>Far Peak Acquisition Corporation</v>
      </c>
      <c r="C273" s="95" t="str">
        <f>'Active and Pre-IPO SPACs'!C274</f>
        <v>Searching</v>
      </c>
      <c r="D273" s="91" t="str">
        <f>'Active and Pre-IPO SPACs'!D274</f>
        <v>Fintech, Financial Services</v>
      </c>
      <c r="E273" s="96" t="str">
        <f>'Active and Pre-IPO SPACs'!E274</f>
        <v/>
      </c>
      <c r="F273" s="97" t="str">
        <f>'Active and Pre-IPO SPACs'!F274</f>
        <v>Thomas Farley (Chairman, Global Blue; Fmr President, NYSE)</v>
      </c>
      <c r="G273" s="98">
        <f>'Active and Pre-IPO SPACs'!P274</f>
        <v>44168</v>
      </c>
      <c r="H273" s="99">
        <f>'Active and Pre-IPO SPACs'!Q274</f>
        <v>600</v>
      </c>
      <c r="I273" s="100" t="str">
        <f>'Active and Pre-IPO SPACs'!M274</f>
        <v>U: [1/3 W]; W: [1:1, $11.5]</v>
      </c>
    </row>
    <row r="274">
      <c r="A274" s="78" t="str">
        <f>'Active and Pre-IPO SPACs'!A275</f>
        <v>FRON</v>
      </c>
      <c r="B274" s="95" t="str">
        <f>'Active and Pre-IPO SPACs'!B275</f>
        <v>Frontier Acquisition Corp.</v>
      </c>
      <c r="C274" s="95" t="str">
        <f>'Active and Pre-IPO SPACs'!C275</f>
        <v>Searching (Pre Unit Split)</v>
      </c>
      <c r="D274" s="101" t="str">
        <f>'Active and Pre-IPO SPACs'!D275</f>
        <v>Healthcare Tech, Biotech</v>
      </c>
      <c r="E274" s="96" t="str">
        <f>'Active and Pre-IPO SPACs'!E275</f>
        <v/>
      </c>
      <c r="F274" s="97" t="str">
        <f>'Active and Pre-IPO SPACs'!F275</f>
        <v/>
      </c>
      <c r="G274" s="98">
        <f>'Active and Pre-IPO SPACs'!P275</f>
        <v>44265</v>
      </c>
      <c r="H274" s="99">
        <f>'Active and Pre-IPO SPACs'!Q275</f>
        <v>230</v>
      </c>
      <c r="I274" s="100" t="str">
        <f>'Active and Pre-IPO SPACs'!M275</f>
        <v>U: [1/4 W]; W: [1:1, $11.5]</v>
      </c>
    </row>
    <row r="275">
      <c r="A275" s="78" t="str">
        <f>'Active and Pre-IPO SPACs'!A276</f>
        <v>FRSG</v>
      </c>
      <c r="B275" s="95" t="str">
        <f>'Active and Pre-IPO SPACs'!B276</f>
        <v>First Reserve Sustainable Growth Corp.</v>
      </c>
      <c r="C275" s="95" t="str">
        <f>'Active and Pre-IPO SPACs'!C276</f>
        <v>Searching (Pre Unit Split)</v>
      </c>
      <c r="D275" s="101" t="str">
        <f>'Active and Pre-IPO SPACs'!D276</f>
        <v>Renewable Energy, Energy Transition, Sustainability</v>
      </c>
      <c r="E275" s="96" t="str">
        <f>'Active and Pre-IPO SPACs'!E276</f>
        <v/>
      </c>
      <c r="F275" s="97" t="str">
        <f>'Active and Pre-IPO SPACs'!F276</f>
        <v/>
      </c>
      <c r="G275" s="98">
        <f>'Active and Pre-IPO SPACs'!P276</f>
        <v>44259</v>
      </c>
      <c r="H275" s="99">
        <f>'Active and Pre-IPO SPACs'!Q276</f>
        <v>222.43955</v>
      </c>
      <c r="I275" s="100" t="str">
        <f>'Active and Pre-IPO SPACs'!M276</f>
        <v>U: [1/4 W]; W: [1:1, $11.5]</v>
      </c>
    </row>
    <row r="276">
      <c r="A276" s="78" t="str">
        <f>'Active and Pre-IPO SPACs'!A277</f>
        <v>FRW</v>
      </c>
      <c r="B276" s="95" t="str">
        <f>'Active and Pre-IPO SPACs'!B277</f>
        <v>PWP Forward Acquisition Corp. I</v>
      </c>
      <c r="C276" s="95" t="str">
        <f>'Active and Pre-IPO SPACs'!C277</f>
        <v>Searching (Pre Unit Split)</v>
      </c>
      <c r="D276" s="101" t="str">
        <f>'Active and Pre-IPO SPACs'!D277</f>
        <v>Women-Forward Companies</v>
      </c>
      <c r="E276" s="96" t="str">
        <f>'Active and Pre-IPO SPACs'!E277</f>
        <v/>
      </c>
      <c r="F276" s="97" t="str">
        <f>'Active and Pre-IPO SPACs'!F277</f>
        <v>Joseph Perella (Founding Partner, Perella Weinberg Partners), Courtney Leimkuhler (Fmr CFO, Marsh)</v>
      </c>
      <c r="G276" s="98">
        <f>'Active and Pre-IPO SPACs'!P277</f>
        <v>44264</v>
      </c>
      <c r="H276" s="99">
        <f>'Active and Pre-IPO SPACs'!Q277</f>
        <v>211.63433</v>
      </c>
      <c r="I276" s="100" t="str">
        <f>'Active and Pre-IPO SPACs'!M277</f>
        <v>U: [1/5 W]; W: [1:1, $11.5]</v>
      </c>
    </row>
    <row r="277">
      <c r="A277" s="78" t="str">
        <f>'Active and Pre-IPO SPACs'!A278</f>
        <v>FRX</v>
      </c>
      <c r="B277" s="95" t="str">
        <f>'Active and Pre-IPO SPACs'!B278</f>
        <v>Forest Road Acquisition Corp.</v>
      </c>
      <c r="C277" s="95" t="str">
        <f>'Active and Pre-IPO SPACs'!C278</f>
        <v>Definitive Agreement</v>
      </c>
      <c r="D277" s="91" t="str">
        <f>'Active and Pre-IPO SPACs'!D278</f>
        <v>TMT (Tech, Media, Telecom)</v>
      </c>
      <c r="E277" s="96" t="str">
        <f>'Active and Pre-IPO SPACs'!E278</f>
        <v>Beachbody and Myx Fitness [DA: 02/10/21]</v>
      </c>
      <c r="F277" s="97" t="str">
        <f>'Active and Pre-IPO SPACs'!F278</f>
        <v>Keith Horn (Former COO, Elliott Management Corp; Founder, Loring Capital Advisors), Tom Staggs (former Disney COO), Kevin Mayer (Former CEO, TikTok), Shaquille O’Neal, Martin Luther King III</v>
      </c>
      <c r="G277" s="98">
        <f>'Active and Pre-IPO SPACs'!P278</f>
        <v>44159</v>
      </c>
      <c r="H277" s="99">
        <f>'Active and Pre-IPO SPACs'!Q278</f>
        <v>300</v>
      </c>
      <c r="I277" s="100" t="str">
        <f>'Active and Pre-IPO SPACs'!M278</f>
        <v>U: [1/3 W]; W: [1:1, $11.5]</v>
      </c>
    </row>
    <row r="278">
      <c r="A278" s="78" t="str">
        <f>'Active and Pre-IPO SPACs'!A279</f>
        <v>FRXB</v>
      </c>
      <c r="B278" s="95" t="str">
        <f>'Active and Pre-IPO SPACs'!B279</f>
        <v>Forest Road Acquisition Corp. II</v>
      </c>
      <c r="C278" s="95" t="str">
        <f>'Active and Pre-IPO SPACs'!C279</f>
        <v>Searching (Pre Unit Split)</v>
      </c>
      <c r="D278" s="91" t="str">
        <f>'Active and Pre-IPO SPACs'!D279</f>
        <v>TMT &amp; C (Tech, Media, Telecom &amp; Consumer)</v>
      </c>
      <c r="E278" s="96" t="str">
        <f>'Active and Pre-IPO SPACs'!E279</f>
        <v/>
      </c>
      <c r="F278" s="97" t="str">
        <f>'Active and Pre-IPO SPACs'!F279</f>
        <v>Tom Staggs (Fmr COO, The Walt Disney Company; Director, Spotify), Kevin Mayer (Fmr CEO, TikTok), Shaquille “Shaq” O’Neal (4x NBA Champion), Martin Luther King III</v>
      </c>
      <c r="G278" s="98">
        <f>'Active and Pre-IPO SPACs'!P279</f>
        <v>44264</v>
      </c>
      <c r="H278" s="99">
        <f>'Active and Pre-IPO SPACs'!Q279</f>
        <v>350</v>
      </c>
      <c r="I278" s="100" t="str">
        <f>'Active and Pre-IPO SPACs'!M279</f>
        <v>U: [1/5 W]; W: [1:1, $11.5]</v>
      </c>
    </row>
    <row r="279">
      <c r="A279" s="78" t="str">
        <f>'Active and Pre-IPO SPACs'!A280</f>
        <v>FSII</v>
      </c>
      <c r="B279" s="95" t="str">
        <f>'Active and Pre-IPO SPACs'!B280</f>
        <v>FS Development Corp. II</v>
      </c>
      <c r="C279" s="95" t="str">
        <f>'Active and Pre-IPO SPACs'!C280</f>
        <v>Searching</v>
      </c>
      <c r="D279" s="91" t="str">
        <f>'Active and Pre-IPO SPACs'!D280</f>
        <v>Biotech and Life Science infrastructure</v>
      </c>
      <c r="E279" s="96" t="str">
        <f>'Active and Pre-IPO SPACs'!E280</f>
        <v/>
      </c>
      <c r="F279" s="97" t="str">
        <f>'Active and Pre-IPO SPACs'!F280</f>
        <v>Dr. Jim Tananbaum (Founder, Foresite Capital)</v>
      </c>
      <c r="G279" s="98">
        <f>'Active and Pre-IPO SPACs'!P280</f>
        <v>44243</v>
      </c>
      <c r="H279" s="99">
        <f>'Active and Pre-IPO SPACs'!Q280</f>
        <v>201.25</v>
      </c>
      <c r="I279" s="100" t="str">
        <f>'Active and Pre-IPO SPACs'!M280</f>
        <v>U: [No units]; W: [No warrants]</v>
      </c>
    </row>
    <row r="280">
      <c r="A280" s="78" t="str">
        <f>'Active and Pre-IPO SPACs'!A281</f>
        <v>FSNB</v>
      </c>
      <c r="B280" s="95" t="str">
        <f>'Active and Pre-IPO SPACs'!B281</f>
        <v>Fusion Acquisition Corp. II</v>
      </c>
      <c r="C280" s="95" t="str">
        <f>'Active and Pre-IPO SPACs'!C281</f>
        <v>Searching (Pre Unit Split)</v>
      </c>
      <c r="D280" s="91" t="str">
        <f>'Active and Pre-IPO SPACs'!D281</f>
        <v>Fintech, or wealth, investment &amp; asset management</v>
      </c>
      <c r="E280" s="96" t="str">
        <f>'Active and Pre-IPO SPACs'!E281</f>
        <v/>
      </c>
      <c r="F280" s="97" t="str">
        <f>'Active and Pre-IPO SPACs'!F281</f>
        <v/>
      </c>
      <c r="G280" s="98">
        <f>'Active and Pre-IPO SPACs'!P281</f>
        <v>44252</v>
      </c>
      <c r="H280" s="99">
        <f>'Active and Pre-IPO SPACs'!Q281</f>
        <v>500</v>
      </c>
      <c r="I280" s="100" t="str">
        <f>'Active and Pre-IPO SPACs'!M281</f>
        <v>U: [1/3 W]; W: [1:1, $11.5]</v>
      </c>
    </row>
    <row r="281">
      <c r="A281" s="78" t="str">
        <f>'Active and Pre-IPO SPACs'!A282</f>
        <v>FSRV</v>
      </c>
      <c r="B281" s="95" t="str">
        <f>'Active and Pre-IPO SPACs'!B282</f>
        <v>FinServ Acquisition Corp</v>
      </c>
      <c r="C281" s="95" t="str">
        <f>'Active and Pre-IPO SPACs'!C282</f>
        <v>Definitive Agreement</v>
      </c>
      <c r="D281" s="91" t="str">
        <f>'Active and Pre-IPO SPACs'!D282</f>
        <v>Fintech, Financial Services</v>
      </c>
      <c r="E281" s="96" t="str">
        <f>'Active and Pre-IPO SPACs'!E282</f>
        <v>Katapult [DA: 12/18/20]</v>
      </c>
      <c r="F281" s="97" t="str">
        <f>'Active and Pre-IPO SPACs'!F282</f>
        <v/>
      </c>
      <c r="G281" s="98">
        <f>'Active and Pre-IPO SPACs'!P282</f>
        <v>43770</v>
      </c>
      <c r="H281" s="99">
        <f>'Active and Pre-IPO SPACs'!Q282</f>
        <v>250</v>
      </c>
      <c r="I281" s="100" t="str">
        <f>'Active and Pre-IPO SPACs'!M282</f>
        <v>U: [1/2 W]; W: [1:1, $11.5]</v>
      </c>
    </row>
    <row r="282">
      <c r="A282" s="78" t="str">
        <f>'Active and Pre-IPO SPACs'!A283</f>
        <v>FSRX</v>
      </c>
      <c r="B282" s="95" t="str">
        <f>'Active and Pre-IPO SPACs'!B283</f>
        <v>Finserv Acquisition Corp. II</v>
      </c>
      <c r="C282" s="95" t="str">
        <f>'Active and Pre-IPO SPACs'!C283</f>
        <v>Searching (Pre Unit Split)</v>
      </c>
      <c r="D282" s="101" t="str">
        <f>'Active and Pre-IPO SPACs'!D283</f>
        <v>Fintech, Financial services</v>
      </c>
      <c r="E282" s="96" t="str">
        <f>'Active and Pre-IPO SPACs'!E283</f>
        <v/>
      </c>
      <c r="F282" s="97" t="str">
        <f>'Active and Pre-IPO SPACs'!F283</f>
        <v>Lee Einbinder (Vice Chairman, Barclays), Michael Vaughan (Fmr COO, Venmo)</v>
      </c>
      <c r="G282" s="98">
        <f>'Active and Pre-IPO SPACs'!P283</f>
        <v>44244</v>
      </c>
      <c r="H282" s="99">
        <f>'Active and Pre-IPO SPACs'!Q283</f>
        <v>300</v>
      </c>
      <c r="I282" s="100" t="str">
        <f>'Active and Pre-IPO SPACs'!M283</f>
        <v>U: [1/4 W]; W: [1:1, $11.5]</v>
      </c>
    </row>
    <row r="283">
      <c r="A283" s="78" t="str">
        <f>'Active and Pre-IPO SPACs'!A284</f>
        <v>FSSI</v>
      </c>
      <c r="B283" s="95" t="str">
        <f>'Active and Pre-IPO SPACs'!B284</f>
        <v>Fortistar Sustainable Solutions Corp.</v>
      </c>
      <c r="C283" s="95" t="str">
        <f>'Active and Pre-IPO SPACs'!C284</f>
        <v>Searching</v>
      </c>
      <c r="D283" s="91" t="str">
        <f>'Active and Pre-IPO SPACs'!D284</f>
        <v>Sustainable Energy, Infrastructure, Transportation</v>
      </c>
      <c r="E283" s="96" t="str">
        <f>'Active and Pre-IPO SPACs'!E284</f>
        <v/>
      </c>
      <c r="F283" s="97" t="str">
        <f>'Active and Pre-IPO SPACs'!F284</f>
        <v>Mark Comora (Founder/President, Fortistar), Mark Little (Fmr CTO, GE)</v>
      </c>
      <c r="G283" s="98">
        <f>'Active and Pre-IPO SPACs'!P284</f>
        <v>44222</v>
      </c>
      <c r="H283" s="99">
        <f>'Active and Pre-IPO SPACs'!Q284</f>
        <v>258.75</v>
      </c>
      <c r="I283" s="100" t="str">
        <f>'Active and Pre-IPO SPACs'!M284</f>
        <v>U: [1/2 W]; W: [1:1, $11.5]</v>
      </c>
    </row>
    <row r="284">
      <c r="A284" s="78" t="str">
        <f>'Active and Pre-IPO SPACs'!A285</f>
        <v>FST</v>
      </c>
      <c r="B284" s="95" t="str">
        <f>'Active and Pre-IPO SPACs'!B285</f>
        <v>FAST Acquisition Corp. </v>
      </c>
      <c r="C284" s="95" t="str">
        <f>'Active and Pre-IPO SPACs'!C285</f>
        <v>Definitive Agreement</v>
      </c>
      <c r="D284" s="91" t="str">
        <f>'Active and Pre-IPO SPACs'!D285</f>
        <v>Restaurant, Hospitality</v>
      </c>
      <c r="E284" s="96" t="str">
        <f>'Active and Pre-IPO SPACs'!E285</f>
        <v>Fertitta Entertainment [DA: 02/01/21]</v>
      </c>
      <c r="F284" s="97" t="str">
        <f>'Active and Pre-IPO SPACs'!F285</f>
        <v>Sandy Beall (Founder, Ruby Tuesday), Kevin Reddy (Former COO of Chipotle and CEO of Noodles &amp; Company), Ndamukong Suh (NFL player)</v>
      </c>
      <c r="G284" s="98">
        <f>'Active and Pre-IPO SPACs'!P285</f>
        <v>44063</v>
      </c>
      <c r="H284" s="99">
        <f>'Active and Pre-IPO SPACs'!Q285</f>
        <v>200</v>
      </c>
      <c r="I284" s="100" t="str">
        <f>'Active and Pre-IPO SPACs'!M285</f>
        <v>U: [1/2 W]; W: [1:1, $11.5]</v>
      </c>
    </row>
    <row r="285">
      <c r="A285" s="78" t="str">
        <f>'Active and Pre-IPO SPACs'!A286</f>
        <v>FTAA</v>
      </c>
      <c r="B285" s="95" t="str">
        <f>'Active and Pre-IPO SPACs'!B286</f>
        <v>FTAC Athena Acquisition Corp.</v>
      </c>
      <c r="C285" s="95" t="str">
        <f>'Active and Pre-IPO SPACs'!C286</f>
        <v>Searching (Pre Unit Split)</v>
      </c>
      <c r="D285" s="91" t="str">
        <f>'Active and Pre-IPO SPACs'!D286</f>
        <v>Tech, Fintech</v>
      </c>
      <c r="E285" s="96" t="str">
        <f>'Active and Pre-IPO SPACs'!E286</f>
        <v/>
      </c>
      <c r="F285" s="97" t="str">
        <f>'Active and Pre-IPO SPACs'!F286</f>
        <v>Betsy Cohen (Founder/Fmr CEO Bancorp; Director, FinTech Acquisition I, II, III), Amanda Abrams (Managing Director, Cohen &amp; Co),</v>
      </c>
      <c r="G285" s="98">
        <f>'Active and Pre-IPO SPACs'!P286</f>
        <v>44249</v>
      </c>
      <c r="H285" s="99">
        <f>'Active and Pre-IPO SPACs'!Q286</f>
        <v>250</v>
      </c>
      <c r="I285" s="100" t="str">
        <f>'Active and Pre-IPO SPACs'!M286</f>
        <v>U: [1/4 W]; W: [1:1, $11.5]</v>
      </c>
    </row>
    <row r="286">
      <c r="A286" s="78" t="str">
        <f>'Active and Pre-IPO SPACs'!A287</f>
        <v>FTCV</v>
      </c>
      <c r="B286" s="95" t="str">
        <f>'Active and Pre-IPO SPACs'!B287</f>
        <v>FinTech Acquisition Corp V</v>
      </c>
      <c r="C286" s="95" t="str">
        <f>'Active and Pre-IPO SPACs'!C287</f>
        <v>Definitive Agreement</v>
      </c>
      <c r="D286" s="91" t="str">
        <f>'Active and Pre-IPO SPACs'!D287</f>
        <v>Fintech</v>
      </c>
      <c r="E286" s="96" t="str">
        <f>'Active and Pre-IPO SPACs'!E287</f>
        <v>EToro [DA: 03/16/21]</v>
      </c>
      <c r="F286" s="97" t="str">
        <f>'Active and Pre-IPO SPACs'!F287</f>
        <v>Betsy Cohen (Founder/Fmr CEO Bancorp), Daniel Cohen</v>
      </c>
      <c r="G286" s="98">
        <f>'Active and Pre-IPO SPACs'!P287</f>
        <v>44169</v>
      </c>
      <c r="H286" s="99">
        <f>'Active and Pre-IPO SPACs'!Q287</f>
        <v>250</v>
      </c>
      <c r="I286" s="100" t="str">
        <f>'Active and Pre-IPO SPACs'!M287</f>
        <v>U: [1/3 W]; W: [1:1, $11.5]</v>
      </c>
    </row>
    <row r="287">
      <c r="A287" s="78" t="str">
        <f>'Active and Pre-IPO SPACs'!A288</f>
        <v>FTEV</v>
      </c>
      <c r="B287" s="95" t="str">
        <f>'Active and Pre-IPO SPACs'!B288</f>
        <v>FinTech Evolution Acquisition Group</v>
      </c>
      <c r="C287" s="95" t="str">
        <f>'Active and Pre-IPO SPACs'!C288</f>
        <v>Searching (Pre Unit Split)</v>
      </c>
      <c r="D287" s="91" t="str">
        <f>'Active and Pre-IPO SPACs'!D288</f>
        <v>Fintech</v>
      </c>
      <c r="E287" s="96" t="str">
        <f>'Active and Pre-IPO SPACs'!E288</f>
        <v/>
      </c>
      <c r="F287" s="97" t="str">
        <f>'Active and Pre-IPO SPACs'!F288</f>
        <v>Rohit Bhagat (Fmr Vice Chairman, BlackRock)</v>
      </c>
      <c r="G287" s="98">
        <f>'Active and Pre-IPO SPACs'!P288</f>
        <v>44256</v>
      </c>
      <c r="H287" s="99">
        <f>'Active and Pre-IPO SPACs'!Q288</f>
        <v>240</v>
      </c>
      <c r="I287" s="100" t="str">
        <f>'Active and Pre-IPO SPACs'!M288</f>
        <v>U: [1/3 W]; W: [1:1, $11.5]</v>
      </c>
    </row>
    <row r="288">
      <c r="A288" s="78" t="str">
        <f>'Active and Pre-IPO SPACs'!A289</f>
        <v>FTIV</v>
      </c>
      <c r="B288" s="95" t="str">
        <f>'Active and Pre-IPO SPACs'!B289</f>
        <v>FinTech Acquisition Corp. IV</v>
      </c>
      <c r="C288" s="95" t="str">
        <f>'Active and Pre-IPO SPACs'!C289</f>
        <v>Definitive Agreement</v>
      </c>
      <c r="D288" s="91" t="str">
        <f>'Active and Pre-IPO SPACs'!D289</f>
        <v>Fintech</v>
      </c>
      <c r="E288" s="96" t="str">
        <f>'Active and Pre-IPO SPACs'!E289</f>
        <v>Perella Weinberg Partners [DA: 12/30/20]</v>
      </c>
      <c r="F288" s="97" t="str">
        <f>'Active and Pre-IPO SPACs'!F289</f>
        <v>Betsy Cohen (Founder/Fmr CEO Bancorp), Daniel Cohen</v>
      </c>
      <c r="G288" s="98">
        <f>'Active and Pre-IPO SPACs'!P289</f>
        <v>44098</v>
      </c>
      <c r="H288" s="99">
        <f>'Active and Pre-IPO SPACs'!Q289</f>
        <v>230</v>
      </c>
      <c r="I288" s="100" t="str">
        <f>'Active and Pre-IPO SPACs'!M289</f>
        <v>U: [1/3 W]; W: [1:1, $11.5]</v>
      </c>
    </row>
    <row r="289">
      <c r="A289" s="78" t="str">
        <f>'Active and Pre-IPO SPACs'!A290</f>
        <v>FTOC</v>
      </c>
      <c r="B289" s="95" t="str">
        <f>'Active and Pre-IPO SPACs'!B290</f>
        <v>FTAC Olympus Acquisition</v>
      </c>
      <c r="C289" s="95" t="str">
        <f>'Active and Pre-IPO SPACs'!C290</f>
        <v>Definitive Agreement</v>
      </c>
      <c r="D289" s="91" t="str">
        <f>'Active and Pre-IPO SPACs'!D290</f>
        <v>Tech, Fintech</v>
      </c>
      <c r="E289" s="96" t="str">
        <f>'Active and Pre-IPO SPACs'!E290</f>
        <v>Payoneer [DA: 02/03/21]</v>
      </c>
      <c r="F289" s="97" t="str">
        <f>'Active and Pre-IPO SPACs'!F290</f>
        <v>Betsy Cohen (Founder/Fmr CEO Bancorp; Director, FinTech Acquisition I, II, III)</v>
      </c>
      <c r="G289" s="98">
        <f>'Active and Pre-IPO SPACs'!P290</f>
        <v>44068</v>
      </c>
      <c r="H289" s="99">
        <f>'Active and Pre-IPO SPACs'!Q290</f>
        <v>754.74376</v>
      </c>
      <c r="I289" s="100" t="str">
        <f>'Active and Pre-IPO SPACs'!M290</f>
        <v>U: [1/3 W]; W: [1:1, $11.5]</v>
      </c>
    </row>
    <row r="290">
      <c r="A290" s="78" t="str">
        <f>'Active and Pre-IPO SPACs'!A291</f>
        <v>FTPA</v>
      </c>
      <c r="B290" s="95" t="str">
        <f>'Active and Pre-IPO SPACs'!B291</f>
        <v>FTAC Parnassus Acquisition Corp.</v>
      </c>
      <c r="C290" s="95" t="str">
        <f>'Active and Pre-IPO SPACs'!C291</f>
        <v>Searching (Pre Unit Split)</v>
      </c>
      <c r="D290" s="101" t="str">
        <f>'Active and Pre-IPO SPACs'!D291</f>
        <v>Tech, Fintech</v>
      </c>
      <c r="E290" s="96" t="str">
        <f>'Active and Pre-IPO SPACs'!E291</f>
        <v/>
      </c>
      <c r="F290" s="97" t="str">
        <f>'Active and Pre-IPO SPACs'!F291</f>
        <v>Daniel Cohen (Chairman INSU II &amp; III)</v>
      </c>
      <c r="G290" s="98">
        <f>'Active and Pre-IPO SPACs'!P291</f>
        <v>44266</v>
      </c>
      <c r="H290" s="99">
        <f>'Active and Pre-IPO SPACs'!Q291</f>
        <v>250</v>
      </c>
      <c r="I290" s="100" t="str">
        <f>'Active and Pre-IPO SPACs'!M291</f>
        <v>U: [1/4 W]; W: [1:1, $11.5]</v>
      </c>
    </row>
    <row r="291">
      <c r="A291" s="78" t="str">
        <f>'Active and Pre-IPO SPACs'!A292</f>
        <v>FTVI</v>
      </c>
      <c r="B291" s="95" t="str">
        <f>'Active and Pre-IPO SPACs'!B292</f>
        <v>FinTech Acquisition Corp. VI</v>
      </c>
      <c r="C291" s="95" t="str">
        <f>'Active and Pre-IPO SPACs'!C292</f>
        <v>Pre IPO</v>
      </c>
      <c r="D291" s="101" t="str">
        <f>'Active and Pre-IPO SPACs'!D292</f>
        <v>Fintech</v>
      </c>
      <c r="E291" s="96" t="str">
        <f>'Active and Pre-IPO SPACs'!E292</f>
        <v/>
      </c>
      <c r="F291" s="97" t="str">
        <f>'Active and Pre-IPO SPACs'!F292</f>
        <v>Betsy Cohen (Founder &amp; Former CEO of The Bancorp and serial SPAC sponsor), Daniel Cohen (Chairman of Cohen &amp; Company)</v>
      </c>
      <c r="G291" s="98" t="str">
        <f>'Active and Pre-IPO SPACs'!P292</f>
        <v/>
      </c>
      <c r="H291" s="99">
        <f>'Active and Pre-IPO SPACs'!Q292</f>
        <v>220</v>
      </c>
      <c r="I291" s="100" t="str">
        <f>'Active and Pre-IPO SPACs'!M292</f>
        <v>U: [1/4 W]; W: [1:1, $11.5]</v>
      </c>
    </row>
    <row r="292">
      <c r="A292" s="78" t="str">
        <f>'Active and Pre-IPO SPACs'!A293</f>
        <v>FUSE</v>
      </c>
      <c r="B292" s="95" t="str">
        <f>'Active and Pre-IPO SPACs'!B293</f>
        <v>Fusion Acquisition</v>
      </c>
      <c r="C292" s="95" t="str">
        <f>'Active and Pre-IPO SPACs'!C293</f>
        <v>Definitive Agreement</v>
      </c>
      <c r="D292" s="101" t="str">
        <f>'Active and Pre-IPO SPACs'!D293</f>
        <v>Fintech, Asset Management, Wealth Management</v>
      </c>
      <c r="E292" s="96" t="str">
        <f>'Active and Pre-IPO SPACs'!E293</f>
        <v>MoneyLion [DA: 02/12/21]</v>
      </c>
      <c r="F292" s="97" t="str">
        <f>'Active and Pre-IPO SPACs'!F293</f>
        <v/>
      </c>
      <c r="G292" s="98">
        <f>'Active and Pre-IPO SPACs'!P293</f>
        <v>44008</v>
      </c>
      <c r="H292" s="99">
        <f>'Active and Pre-IPO SPACs'!Q293</f>
        <v>350</v>
      </c>
      <c r="I292" s="100" t="str">
        <f>'Active and Pre-IPO SPACs'!M293</f>
        <v>U: [1/2 W]; W: [1:1, $11.5]</v>
      </c>
    </row>
    <row r="293">
      <c r="A293" s="78" t="str">
        <f>'Active and Pre-IPO SPACs'!A294</f>
        <v>FVAM</v>
      </c>
      <c r="B293" s="95" t="str">
        <f>'Active and Pre-IPO SPACs'!B294</f>
        <v>5:01 Acquisition Corp</v>
      </c>
      <c r="C293" s="95" t="str">
        <f>'Active and Pre-IPO SPACs'!C294</f>
        <v>Searching</v>
      </c>
      <c r="D293" s="101" t="str">
        <f>'Active and Pre-IPO SPACs'!D294</f>
        <v>BioTech, Healthcare</v>
      </c>
      <c r="E293" s="96" t="str">
        <f>'Active and Pre-IPO SPACs'!E294</f>
        <v/>
      </c>
      <c r="F293" s="97" t="str">
        <f>'Active and Pre-IPO SPACs'!F294</f>
        <v/>
      </c>
      <c r="G293" s="98">
        <f>'Active and Pre-IPO SPACs'!P294</f>
        <v>44117</v>
      </c>
      <c r="H293" s="99">
        <f>'Active and Pre-IPO SPACs'!Q294</f>
        <v>82.6</v>
      </c>
      <c r="I293" s="100" t="str">
        <f>'Active and Pre-IPO SPACs'!M294</f>
        <v>U: [No units]; W: [No warrants]</v>
      </c>
    </row>
    <row r="294">
      <c r="A294" s="78" t="str">
        <f>'Active and Pre-IPO SPACs'!A295</f>
        <v>FVIV</v>
      </c>
      <c r="B294" s="95" t="str">
        <f>'Active and Pre-IPO SPACs'!B295</f>
        <v>Fortress Value Acquisition Corp. IV</v>
      </c>
      <c r="C294" s="95" t="str">
        <f>'Active and Pre-IPO SPACs'!C295</f>
        <v>Searching (Pre Unit Split)</v>
      </c>
      <c r="D294" s="91" t="str">
        <f>'Active and Pre-IPO SPACs'!D295</f>
        <v/>
      </c>
      <c r="E294" s="96" t="str">
        <f>'Active and Pre-IPO SPACs'!E295</f>
        <v/>
      </c>
      <c r="F294" s="97" t="str">
        <f>'Active and Pre-IPO SPACs'!F295</f>
        <v>Fortress Investment Group</v>
      </c>
      <c r="G294" s="98">
        <f>'Active and Pre-IPO SPACs'!P295</f>
        <v>44270</v>
      </c>
      <c r="H294" s="99">
        <f>'Active and Pre-IPO SPACs'!Q295</f>
        <v>600</v>
      </c>
      <c r="I294" s="100" t="str">
        <f>'Active and Pre-IPO SPACs'!M295</f>
        <v>U: [1/8 W]; W: [1:1, $11.5]</v>
      </c>
    </row>
    <row r="295">
      <c r="A295" s="78" t="str">
        <f>'Active and Pre-IPO SPACs'!A296</f>
        <v>FVT</v>
      </c>
      <c r="B295" s="95" t="str">
        <f>'Active and Pre-IPO SPACs'!B296</f>
        <v>Fortress Value Acquisition Corp. III</v>
      </c>
      <c r="C295" s="95" t="str">
        <f>'Active and Pre-IPO SPACs'!C296</f>
        <v>Searching</v>
      </c>
      <c r="D295" s="91" t="str">
        <f>'Active and Pre-IPO SPACs'!D296</f>
        <v/>
      </c>
      <c r="E295" s="96" t="str">
        <f>'Active and Pre-IPO SPACs'!E296</f>
        <v/>
      </c>
      <c r="F295" s="97" t="str">
        <f>'Active and Pre-IPO SPACs'!F296</f>
        <v>Fortress Investment Group</v>
      </c>
      <c r="G295" s="98">
        <f>'Active and Pre-IPO SPACs'!P296</f>
        <v>44200</v>
      </c>
      <c r="H295" s="99">
        <f>'Active and Pre-IPO SPACs'!Q296</f>
        <v>230</v>
      </c>
      <c r="I295" s="100" t="str">
        <f>'Active and Pre-IPO SPACs'!M296</f>
        <v>U: [1/5 W]; W: [1:1, $11.5]</v>
      </c>
    </row>
    <row r="296">
      <c r="A296" s="78" t="str">
        <f>'Active and Pre-IPO SPACs'!A297</f>
        <v>FWAA</v>
      </c>
      <c r="B296" s="95" t="str">
        <f>'Active and Pre-IPO SPACs'!B297</f>
        <v>Fifth Wall Acquisition Corp. </v>
      </c>
      <c r="C296" s="95" t="str">
        <f>'Active and Pre-IPO SPACs'!C297</f>
        <v>Searching</v>
      </c>
      <c r="D296" s="91" t="str">
        <f>'Active and Pre-IPO SPACs'!D297</f>
        <v>Real Estate</v>
      </c>
      <c r="E296" s="96" t="str">
        <f>'Active and Pre-IPO SPACs'!E297</f>
        <v/>
      </c>
      <c r="F296" s="97" t="str">
        <f>'Active and Pre-IPO SPACs'!F297</f>
        <v>Brendan Wallace (Co-founder/MP, Fifth Wall) </v>
      </c>
      <c r="G296" s="98">
        <f>'Active and Pre-IPO SPACs'!P297</f>
        <v>44231</v>
      </c>
      <c r="H296" s="99">
        <f>'Active and Pre-IPO SPACs'!Q297</f>
        <v>345</v>
      </c>
      <c r="I296" s="100" t="str">
        <f>'Active and Pre-IPO SPACs'!M297</f>
        <v>U: [No units]; W: [No warrants]</v>
      </c>
    </row>
    <row r="297">
      <c r="A297" s="78" t="str">
        <f>'Active and Pre-IPO SPACs'!A298</f>
        <v>FWAB</v>
      </c>
      <c r="B297" s="95" t="str">
        <f>'Active and Pre-IPO SPACs'!B298</f>
        <v>Fifth Wall Acquisition Corp. II</v>
      </c>
      <c r="C297" s="95" t="str">
        <f>'Active and Pre-IPO SPACs'!C298</f>
        <v>Pre IPO</v>
      </c>
      <c r="D297" s="101" t="str">
        <f>'Active and Pre-IPO SPACs'!D298</f>
        <v>Real Estate</v>
      </c>
      <c r="E297" s="96" t="str">
        <f>'Active and Pre-IPO SPACs'!E298</f>
        <v/>
      </c>
      <c r="F297" s="97" t="str">
        <f>'Active and Pre-IPO SPACs'!F298</f>
        <v>Brendan Wallace (Co-founder/MP, Fifth Wall) </v>
      </c>
      <c r="G297" s="98" t="str">
        <f>'Active and Pre-IPO SPACs'!P298</f>
        <v/>
      </c>
      <c r="H297" s="99">
        <f>'Active and Pre-IPO SPACs'!Q298</f>
        <v>150</v>
      </c>
      <c r="I297" s="100" t="str">
        <f>'Active and Pre-IPO SPACs'!M298</f>
        <v>U: [No Units]; W: [No Warrants]</v>
      </c>
    </row>
    <row r="298">
      <c r="A298" s="78" t="str">
        <f>'Active and Pre-IPO SPACs'!A299</f>
        <v>FZT</v>
      </c>
      <c r="B298" s="95" t="str">
        <f>'Active and Pre-IPO SPACs'!B299</f>
        <v>FAST Acquisition Corp. II</v>
      </c>
      <c r="C298" s="95" t="str">
        <f>'Active and Pre-IPO SPACs'!C299</f>
        <v>Searching (Pre Unit Split)</v>
      </c>
      <c r="D298" s="91" t="str">
        <f>'Active and Pre-IPO SPACs'!D299</f>
        <v>Restaurant, Hospitality, Consumer</v>
      </c>
      <c r="E298" s="96" t="str">
        <f>'Active and Pre-IPO SPACs'!E299</f>
        <v/>
      </c>
      <c r="F298" s="97" t="str">
        <f>'Active and Pre-IPO SPACs'!F299</f>
        <v>Sandy Beall (Founder of Ruby Tuesday), Kevin Reddy (Former COO of Chipotle and CEO of Noodles &amp; Company), Michael Lastoria (Co-founder and CEO of &amp;pizza)</v>
      </c>
      <c r="G298" s="98">
        <f>'Active and Pre-IPO SPACs'!P299</f>
        <v>44270</v>
      </c>
      <c r="H298" s="99">
        <f>'Active and Pre-IPO SPACs'!Q299</f>
        <v>200</v>
      </c>
      <c r="I298" s="100" t="str">
        <f>'Active and Pre-IPO SPACs'!M299</f>
        <v>U: [1/4 W]; W: [1:1, $11.5]</v>
      </c>
    </row>
    <row r="299">
      <c r="A299" s="78" t="str">
        <f>'Active and Pre-IPO SPACs'!A300</f>
        <v>GACQ</v>
      </c>
      <c r="B299" s="95" t="str">
        <f>'Active and Pre-IPO SPACs'!B300</f>
        <v>Global Consumer Acquisition Corp</v>
      </c>
      <c r="C299" s="95" t="str">
        <f>'Active and Pre-IPO SPACs'!C300</f>
        <v>Pre IPO</v>
      </c>
      <c r="D299" s="101" t="str">
        <f>'Active and Pre-IPO SPACs'!D300</f>
        <v>Consumer</v>
      </c>
      <c r="E299" s="96" t="str">
        <f>'Active and Pre-IPO SPACs'!E300</f>
        <v/>
      </c>
      <c r="F299" s="97" t="str">
        <f>'Active and Pre-IPO SPACs'!F300</f>
        <v/>
      </c>
      <c r="G299" s="98" t="str">
        <f>'Active and Pre-IPO SPACs'!P300</f>
        <v/>
      </c>
      <c r="H299" s="99">
        <f>'Active and Pre-IPO SPACs'!Q300</f>
        <v>200</v>
      </c>
      <c r="I299" s="100" t="str">
        <f>'Active and Pre-IPO SPACs'!M300</f>
        <v>U: [1/2 W]; W: [1:1, $11.5]</v>
      </c>
    </row>
    <row r="300">
      <c r="A300" s="78" t="str">
        <f>'Active and Pre-IPO SPACs'!A301</f>
        <v>GAMC</v>
      </c>
      <c r="B300" s="95" t="str">
        <f>'Active and Pre-IPO SPACs'!B301</f>
        <v>Golden Arrow Merger Corp.</v>
      </c>
      <c r="C300" s="95" t="str">
        <f>'Active and Pre-IPO SPACs'!C301</f>
        <v>Searching (Pre Unit Split)</v>
      </c>
      <c r="D300" s="101" t="str">
        <f>'Active and Pre-IPO SPACs'!D301</f>
        <v>Healthcare</v>
      </c>
      <c r="E300" s="96" t="str">
        <f>'Active and Pre-IPO SPACs'!E301</f>
        <v/>
      </c>
      <c r="F300" s="97" t="str">
        <f>'Active and Pre-IPO SPACs'!F301</f>
        <v>Lloyd Dean (CEO, CommonSpirit Health)</v>
      </c>
      <c r="G300" s="98">
        <f>'Active and Pre-IPO SPACs'!P301</f>
        <v>44271</v>
      </c>
      <c r="H300" s="99">
        <f>'Active and Pre-IPO SPACs'!Q301</f>
        <v>250</v>
      </c>
      <c r="I300" s="100" t="str">
        <f>'Active and Pre-IPO SPACs'!M301</f>
        <v>U: [1/3 W]; W: [1:1, $11.5]</v>
      </c>
    </row>
    <row r="301">
      <c r="A301" s="78" t="str">
        <f>'Active and Pre-IPO SPACs'!A302</f>
        <v>GAPA</v>
      </c>
      <c r="B301" s="95" t="str">
        <f>'Active and Pre-IPO SPACs'!B302</f>
        <v>G&amp;P Acquisition Corp.</v>
      </c>
      <c r="C301" s="95" t="str">
        <f>'Active and Pre-IPO SPACs'!C302</f>
        <v>Searching (Pre Unit Split)</v>
      </c>
      <c r="D301" s="91" t="str">
        <f>'Active and Pre-IPO SPACs'!D302</f>
        <v>Leisure, Craft Brewing &amp; Distilling, Automotive, Distribution</v>
      </c>
      <c r="E301" s="96" t="str">
        <f>'Active and Pre-IPO SPACs'!E302</f>
        <v/>
      </c>
      <c r="F301" s="97" t="str">
        <f>'Active and Pre-IPO SPACs'!F302</f>
        <v/>
      </c>
      <c r="G301" s="98">
        <f>'Active and Pre-IPO SPACs'!P302</f>
        <v>44265</v>
      </c>
      <c r="H301" s="99">
        <f>'Active and Pre-IPO SPACs'!Q302</f>
        <v>176.75</v>
      </c>
      <c r="I301" s="100" t="str">
        <f>'Active and Pre-IPO SPACs'!M302</f>
        <v>U: [1/2 W]; W: [1:1, $11.5]</v>
      </c>
    </row>
    <row r="302">
      <c r="A302" s="78" t="str">
        <f>'Active and Pre-IPO SPACs'!A303</f>
        <v>GBRG</v>
      </c>
      <c r="B302" s="95" t="str">
        <f>'Active and Pre-IPO SPACs'!B303</f>
        <v>Goldenbridge Acquisition Limited</v>
      </c>
      <c r="C302" s="95" t="str">
        <f>'Active and Pre-IPO SPACs'!C303</f>
        <v>Searching (Pre Unit Split)</v>
      </c>
      <c r="D302" s="91" t="str">
        <f>'Active and Pre-IPO SPACs'!D303</f>
        <v>Artificial Intelligence, Other Tech Innovations</v>
      </c>
      <c r="E302" s="96" t="str">
        <f>'Active and Pre-IPO SPACs'!E303</f>
        <v/>
      </c>
      <c r="F302" s="97" t="str">
        <f>'Active and Pre-IPO SPACs'!F303</f>
        <v>Yongsheng Liu (Wealthbridge Acquisition: combination with Scienjoy)</v>
      </c>
      <c r="G302" s="98">
        <f>'Active and Pre-IPO SPACs'!P303</f>
        <v>44256</v>
      </c>
      <c r="H302" s="99">
        <f>'Active and Pre-IPO SPACs'!Q303</f>
        <v>50</v>
      </c>
      <c r="I302" s="100" t="str">
        <f>'Active and Pre-IPO SPACs'!M303</f>
        <v>U: [1 W, 1 R (1/10 sh)]; W: [2:1, $11.5]</v>
      </c>
    </row>
    <row r="303">
      <c r="A303" s="78" t="str">
        <f>'Active and Pre-IPO SPACs'!A304</f>
        <v>GCAC</v>
      </c>
      <c r="B303" s="95" t="str">
        <f>'Active and Pre-IPO SPACs'!B304</f>
        <v>Growth Capital Acquisition Corp.</v>
      </c>
      <c r="C303" s="95" t="str">
        <f>'Active and Pre-IPO SPACs'!C304</f>
        <v>Searching</v>
      </c>
      <c r="D303" s="91" t="str">
        <f>'Active and Pre-IPO SPACs'!D304</f>
        <v/>
      </c>
      <c r="E303" s="96" t="str">
        <f>'Active and Pre-IPO SPACs'!E304</f>
        <v/>
      </c>
      <c r="F303" s="97" t="str">
        <f>'Active and Pre-IPO SPACs'!F304</f>
        <v>Prokopios Tsirigakis (CEO of Nautilus Energy &amp; SevenSeas, $STLR, $NMAR, $SEA)</v>
      </c>
      <c r="G303" s="98">
        <f>'Active and Pre-IPO SPACs'!P304</f>
        <v>44225</v>
      </c>
      <c r="H303" s="99">
        <f>'Active and Pre-IPO SPACs'!Q304</f>
        <v>172.5</v>
      </c>
      <c r="I303" s="100" t="str">
        <f>'Active and Pre-IPO SPACs'!M304</f>
        <v>U: [1/2 W]; W: [1:1, $11.5]</v>
      </c>
    </row>
    <row r="304">
      <c r="A304" s="78" t="str">
        <f>'Active and Pre-IPO SPACs'!A305</f>
        <v>GCSA</v>
      </c>
      <c r="B304" s="95" t="str">
        <f>'Active and Pre-IPO SPACs'!B305</f>
        <v>Gateway Strategic Acquisition Co.</v>
      </c>
      <c r="C304" s="95" t="str">
        <f>'Active and Pre-IPO SPACs'!C305</f>
        <v>Pre IPO</v>
      </c>
      <c r="D304" s="91" t="str">
        <f>'Active and Pre-IPO SPACs'!D305</f>
        <v>Tech in Real Estate and Healthcare</v>
      </c>
      <c r="E304" s="96" t="str">
        <f>'Active and Pre-IPO SPACs'!E305</f>
        <v/>
      </c>
      <c r="F304" s="97" t="str">
        <f>'Active and Pre-IPO SPACs'!F305</f>
        <v>Goodwin Gaw (Chairman, Managing Principal &amp; Co-Founder of GCP), Kenneth Gaw (Managing Principal &amp; Co-Founder of GCP)</v>
      </c>
      <c r="G304" s="98" t="str">
        <f>'Active and Pre-IPO SPACs'!P305</f>
        <v/>
      </c>
      <c r="H304" s="99">
        <f>'Active and Pre-IPO SPACs'!Q305</f>
        <v>300</v>
      </c>
      <c r="I304" s="100" t="str">
        <f>'Active and Pre-IPO SPACs'!M305</f>
        <v>U: [1/2 W]; W: [1:1, $11.5]</v>
      </c>
    </row>
    <row r="305">
      <c r="A305" s="78" t="str">
        <f>'Active and Pre-IPO SPACs'!A306</f>
        <v>GFLD</v>
      </c>
      <c r="B305" s="95" t="str">
        <f>'Active and Pre-IPO SPACs'!B306</f>
        <v>Gefen Landa Acquisition Corp.</v>
      </c>
      <c r="C305" s="95" t="str">
        <f>'Active and Pre-IPO SPACs'!C306</f>
        <v>Pre IPO</v>
      </c>
      <c r="D305" s="101" t="str">
        <f>'Active and Pre-IPO SPACs'!D306</f>
        <v>Israeli Tech Companies</v>
      </c>
      <c r="E305" s="96" t="str">
        <f>'Active and Pre-IPO SPACs'!E306</f>
        <v/>
      </c>
      <c r="F305" s="97" t="str">
        <f>'Active and Pre-IPO SPACs'!F306</f>
        <v>Benny Landa (Founder of Indigo Digital Printing, Chairman &amp; CEO of Landa Labs, Chairman of Landa Ventures, and CTO of Landa Digital Printing)</v>
      </c>
      <c r="G305" s="98" t="str">
        <f>'Active and Pre-IPO SPACs'!P306</f>
        <v/>
      </c>
      <c r="H305" s="99">
        <f>'Active and Pre-IPO SPACs'!Q306</f>
        <v>250</v>
      </c>
      <c r="I305" s="100" t="str">
        <f>'Active and Pre-IPO SPACs'!M306</f>
        <v>U: [1/3 W]; W: [1:1, $11.5]</v>
      </c>
    </row>
    <row r="306">
      <c r="A306" s="78" t="str">
        <f>'Active and Pre-IPO SPACs'!A307</f>
        <v>GFOR </v>
      </c>
      <c r="B306" s="95" t="str">
        <f>'Active and Pre-IPO SPACs'!B307</f>
        <v>Graf Acquisition Corp. IV</v>
      </c>
      <c r="C306" s="95" t="str">
        <f>'Active and Pre-IPO SPACs'!C307</f>
        <v>Pre IPO</v>
      </c>
      <c r="D306" s="91" t="str">
        <f>'Active and Pre-IPO SPACs'!D307</f>
        <v/>
      </c>
      <c r="E306" s="96" t="str">
        <f>'Active and Pre-IPO SPACs'!E307</f>
        <v/>
      </c>
      <c r="F306" s="97" t="str">
        <f>'Active and Pre-IPO SPACs'!F307</f>
        <v>James Graf (Former CEO of Graf Industrial Corp)</v>
      </c>
      <c r="G306" s="98" t="str">
        <f>'Active and Pre-IPO SPACs'!P307</f>
        <v/>
      </c>
      <c r="H306" s="99">
        <f>'Active and Pre-IPO SPACs'!Q307</f>
        <v>150</v>
      </c>
      <c r="I306" s="100" t="str">
        <f>'Active and Pre-IPO SPACs'!M307</f>
        <v>U: [1/3 W]; W: [1:1, $11.5]</v>
      </c>
    </row>
    <row r="307">
      <c r="A307" s="78" t="str">
        <f>'Active and Pre-IPO SPACs'!A308</f>
        <v>GFX</v>
      </c>
      <c r="B307" s="95" t="str">
        <f>'Active and Pre-IPO SPACs'!B308</f>
        <v>Golden Falcon Acquisition Corp.</v>
      </c>
      <c r="C307" s="95" t="str">
        <f>'Active and Pre-IPO SPACs'!C308</f>
        <v>Searching</v>
      </c>
      <c r="D307" s="91" t="str">
        <f>'Active and Pre-IPO SPACs'!D308</f>
        <v>TMT, Fintech (Europe, Israel, Middle East, North America)</v>
      </c>
      <c r="E307" s="96" t="str">
        <f>'Active and Pre-IPO SPACs'!E308</f>
        <v/>
      </c>
      <c r="F307" s="97" t="str">
        <f>'Active and Pre-IPO SPACs'!F308</f>
        <v>Makram Azar (Fmr Chairman of Banking EMEA, Barclays), Xavier Rolet (Fmr CEO, London Stock Exchange; Fmr CEO, CQS), Scott Freidheim</v>
      </c>
      <c r="G307" s="98">
        <f>'Active and Pre-IPO SPACs'!P308</f>
        <v>44182</v>
      </c>
      <c r="H307" s="99">
        <f>'Active and Pre-IPO SPACs'!Q308</f>
        <v>345</v>
      </c>
      <c r="I307" s="100" t="str">
        <f>'Active and Pre-IPO SPACs'!M308</f>
        <v>U: [1/2 W]; W: [1:1, $11.5]</v>
      </c>
    </row>
    <row r="308">
      <c r="A308" s="78" t="str">
        <f>'Active and Pre-IPO SPACs'!A309</f>
        <v>GGI</v>
      </c>
      <c r="B308" s="95" t="str">
        <f>'Active and Pre-IPO SPACs'!B309</f>
        <v>Guggenheim Special Purpose Acquisition Corp. I</v>
      </c>
      <c r="C308" s="95" t="str">
        <f>'Active and Pre-IPO SPACs'!C309</f>
        <v>Pre IPO</v>
      </c>
      <c r="D308" s="91" t="str">
        <f>'Active and Pre-IPO SPACs'!D309</f>
        <v>Financial Services</v>
      </c>
      <c r="E308" s="96" t="str">
        <f>'Active and Pre-IPO SPACs'!E309</f>
        <v/>
      </c>
      <c r="F308" s="97" t="str">
        <f>'Active and Pre-IPO SPACs'!F309</f>
        <v>Andrew Rosenfield (President of Guggenheim Partners)</v>
      </c>
      <c r="G308" s="98" t="str">
        <f>'Active and Pre-IPO SPACs'!P309</f>
        <v/>
      </c>
      <c r="H308" s="99">
        <f>'Active and Pre-IPO SPACs'!Q309</f>
        <v>500</v>
      </c>
      <c r="I308" s="100" t="str">
        <f>'Active and Pre-IPO SPACs'!M309</f>
        <v>U: [1/3 W]; W: [1:1, $11.5]</v>
      </c>
    </row>
    <row r="309">
      <c r="A309" s="78" t="str">
        <f>'Active and Pre-IPO SPACs'!A310</f>
        <v>GGMC</v>
      </c>
      <c r="B309" s="95" t="str">
        <f>'Active and Pre-IPO SPACs'!B310</f>
        <v>Glenfarne Merger Corp.</v>
      </c>
      <c r="C309" s="95" t="str">
        <f>'Active and Pre-IPO SPACs'!C310</f>
        <v>Searching (Pre Unit Split)</v>
      </c>
      <c r="D309" s="101" t="str">
        <f>'Active and Pre-IPO SPACs'!D310</f>
        <v>Energy Transition, Electrification</v>
      </c>
      <c r="E309" s="96" t="str">
        <f>'Active and Pre-IPO SPACs'!E310</f>
        <v/>
      </c>
      <c r="F309" s="97" t="str">
        <f>'Active and Pre-IPO SPACs'!F310</f>
        <v/>
      </c>
      <c r="G309" s="98">
        <f>'Active and Pre-IPO SPACs'!P310</f>
        <v>44273</v>
      </c>
      <c r="H309" s="99">
        <f>'Active and Pre-IPO SPACs'!Q310</f>
        <v>250</v>
      </c>
      <c r="I309" s="100" t="str">
        <f>'Active and Pre-IPO SPACs'!M310</f>
        <v>U: [1/3 W]; W: [1:1, $11.5]</v>
      </c>
    </row>
    <row r="310">
      <c r="A310" s="78" t="str">
        <f>'Active and Pre-IPO SPACs'!A311</f>
        <v>GGPI</v>
      </c>
      <c r="B310" s="95" t="str">
        <f>'Active and Pre-IPO SPACs'!B311</f>
        <v>Gores Guggenheim, Inc.</v>
      </c>
      <c r="C310" s="95" t="str">
        <f>'Active and Pre-IPO SPACs'!C311</f>
        <v>Searching (Pre Unit Split)</v>
      </c>
      <c r="D310" s="101" t="str">
        <f>'Active and Pre-IPO SPACs'!D311</f>
        <v>Consumer</v>
      </c>
      <c r="E310" s="96" t="str">
        <f>'Active and Pre-IPO SPACs'!E311</f>
        <v/>
      </c>
      <c r="F310" s="97" t="str">
        <f>'Active and Pre-IPO SPACs'!F311</f>
        <v>Alec Gores (Founder/CEO of The Gores Group), Andrew Rosenfield (President of Guggenheim Partners), Nancy Tellem (Director of Metro-Goldwyn-Mayer and Former President of the CBS Network Television Entertainment Group)</v>
      </c>
      <c r="G310" s="98">
        <f>'Active and Pre-IPO SPACs'!P311</f>
        <v>44277</v>
      </c>
      <c r="H310" s="99">
        <f>'Active and Pre-IPO SPACs'!Q311</f>
        <v>750</v>
      </c>
      <c r="I310" s="100" t="str">
        <f>'Active and Pre-IPO SPACs'!M311</f>
        <v>U: [1/5 W]; W: [1:1, $11.5]</v>
      </c>
    </row>
    <row r="311">
      <c r="A311" s="78" t="str">
        <f>'Active and Pre-IPO SPACs'!A312</f>
        <v>GHAC</v>
      </c>
      <c r="B311" s="95" t="str">
        <f>'Active and Pre-IPO SPACs'!B312</f>
        <v>Gaming &amp; Hospitality Acquisition Corp.</v>
      </c>
      <c r="C311" s="95" t="str">
        <f>'Active and Pre-IPO SPACs'!C312</f>
        <v>Searching</v>
      </c>
      <c r="D311" s="101" t="str">
        <f>'Active and Pre-IPO SPACs'!D312</f>
        <v>Gaming</v>
      </c>
      <c r="E311" s="96" t="str">
        <f>'Active and Pre-IPO SPACs'!E312</f>
        <v>Plans to merge with Affinity Gaming &amp; other companies</v>
      </c>
      <c r="F311" s="97" t="str">
        <f>'Active and Pre-IPO SPACs'!F312</f>
        <v>James Zenni, Jr. (Founder/CEO, ZCG; Chairman, Affinity Gaming), Mary Higgins (CEO, Affinity Gaming)</v>
      </c>
      <c r="G311" s="98">
        <f>'Active and Pre-IPO SPACs'!P312</f>
        <v>44229</v>
      </c>
      <c r="H311" s="99">
        <f>'Active and Pre-IPO SPACs'!Q312</f>
        <v>200</v>
      </c>
      <c r="I311" s="100" t="str">
        <f>'Active and Pre-IPO SPACs'!M312</f>
        <v>U: [1/3 W]; W: [1:1, $11.5]</v>
      </c>
    </row>
    <row r="312">
      <c r="A312" s="78" t="str">
        <f>'Active and Pre-IPO SPACs'!A313</f>
        <v>GHVI</v>
      </c>
      <c r="B312" s="95" t="str">
        <f>'Active and Pre-IPO SPACs'!B313</f>
        <v>Gores Holdings VI, Inc.</v>
      </c>
      <c r="C312" s="95" t="str">
        <f>'Active and Pre-IPO SPACs'!C313</f>
        <v>Definitive Agreement</v>
      </c>
      <c r="D312" s="91" t="str">
        <f>'Active and Pre-IPO SPACs'!D313</f>
        <v/>
      </c>
      <c r="E312" s="96" t="str">
        <f>'Active and Pre-IPO SPACs'!E313</f>
        <v>Matterport [DA: 02/08/21]</v>
      </c>
      <c r="F312" s="97" t="str">
        <f>'Active and Pre-IPO SPACs'!F313</f>
        <v>Alec Gores (Founder of The Gores Group)</v>
      </c>
      <c r="G312" s="98">
        <f>'Active and Pre-IPO SPACs'!P313</f>
        <v>44175</v>
      </c>
      <c r="H312" s="99">
        <f>'Active and Pre-IPO SPACs'!Q313</f>
        <v>345</v>
      </c>
      <c r="I312" s="100" t="str">
        <f>'Active and Pre-IPO SPACs'!M313</f>
        <v>U: [1/5 W]; W: [1:1, $11.5]</v>
      </c>
    </row>
    <row r="313">
      <c r="A313" s="78" t="str">
        <f>'Active and Pre-IPO SPACs'!A314</f>
        <v>GIA</v>
      </c>
      <c r="B313" s="95" t="str">
        <f>'Active and Pre-IPO SPACs'!B314</f>
        <v>GigCapital5, Inc.</v>
      </c>
      <c r="C313" s="95" t="str">
        <f>'Active and Pre-IPO SPACs'!C314</f>
        <v>Pre IPO</v>
      </c>
      <c r="D313" s="91" t="str">
        <f>'Active and Pre-IPO SPACs'!D314</f>
        <v>TMT, Aerospace &amp; Defense, Automation, Sustainability</v>
      </c>
      <c r="E313" s="96" t="str">
        <f>'Active and Pre-IPO SPACs'!E314</f>
        <v/>
      </c>
      <c r="F313" s="97" t="str">
        <f>'Active and Pre-IPO SPACs'!F314</f>
        <v>Avi Katz (Tech entrepreneur; Fmr CEO of Gig Optix and GigCapital I)</v>
      </c>
      <c r="G313" s="98" t="str">
        <f>'Active and Pre-IPO SPACs'!P314</f>
        <v/>
      </c>
      <c r="H313" s="99">
        <f>'Active and Pre-IPO SPACs'!Q314</f>
        <v>350</v>
      </c>
      <c r="I313" s="100" t="str">
        <f>'Active and Pre-IPO SPACs'!M314</f>
        <v>U: [1/3 W]; W: [1:1, $11.5]</v>
      </c>
    </row>
    <row r="314">
      <c r="A314" s="78" t="str">
        <f>'Active and Pre-IPO SPACs'!A315</f>
        <v>GIF</v>
      </c>
      <c r="B314" s="95" t="str">
        <f>'Active and Pre-IPO SPACs'!B315</f>
        <v>GigCapital6, Inc.</v>
      </c>
      <c r="C314" s="95" t="str">
        <f>'Active and Pre-IPO SPACs'!C315</f>
        <v>Pre IPO</v>
      </c>
      <c r="D314" s="101" t="str">
        <f>'Active and Pre-IPO SPACs'!D315</f>
        <v>TMT, Cybersecurity, Privacy, Sustainability</v>
      </c>
      <c r="E314" s="96" t="str">
        <f>'Active and Pre-IPO SPACs'!E315</f>
        <v/>
      </c>
      <c r="F314" s="97" t="str">
        <f>'Active and Pre-IPO SPACs'!F315</f>
        <v>Avi Katz (Tech entrepreneur; Fmr CEO of Gig Optix and GigCapital I)</v>
      </c>
      <c r="G314" s="98" t="str">
        <f>'Active and Pre-IPO SPACs'!P315</f>
        <v/>
      </c>
      <c r="H314" s="99">
        <f>'Active and Pre-IPO SPACs'!Q315</f>
        <v>350</v>
      </c>
      <c r="I314" s="100" t="str">
        <f>'Active and Pre-IPO SPACs'!M315</f>
        <v>U: [1/3 W]; W: [1:1, $11.5]</v>
      </c>
    </row>
    <row r="315">
      <c r="A315" s="78" t="str">
        <f>'Active and Pre-IPO SPACs'!A316</f>
        <v>GIG</v>
      </c>
      <c r="B315" s="95" t="str">
        <f>'Active and Pre-IPO SPACs'!B316</f>
        <v>GigCapital4, Inc.</v>
      </c>
      <c r="C315" s="95" t="str">
        <f>'Active and Pre-IPO SPACs'!C316</f>
        <v>Searching</v>
      </c>
      <c r="D315" s="91" t="str">
        <f>'Active and Pre-IPO SPACs'!D316</f>
        <v>TMT (Tech, Media, Telecom), Sustainability</v>
      </c>
      <c r="E315" s="96" t="str">
        <f>'Active and Pre-IPO SPACs'!E316</f>
        <v/>
      </c>
      <c r="F315" s="97" t="str">
        <f>'Active and Pre-IPO SPACs'!F316</f>
        <v>Avi Katz (Tech entrepreneur; Fmr CEO of Gig Optix and GigCapital I)</v>
      </c>
      <c r="G315" s="98">
        <f>'Active and Pre-IPO SPACs'!P316</f>
        <v>44235</v>
      </c>
      <c r="H315" s="99">
        <f>'Active and Pre-IPO SPACs'!Q316</f>
        <v>358.8</v>
      </c>
      <c r="I315" s="100" t="str">
        <f>'Active and Pre-IPO SPACs'!M316</f>
        <v>U: [1/3 W]; W: [1:1, $11.5]</v>
      </c>
    </row>
    <row r="316">
      <c r="A316" s="78" t="str">
        <f>'Active and Pre-IPO SPACs'!A317</f>
        <v>GIIX</v>
      </c>
      <c r="B316" s="95" t="str">
        <f>'Active and Pre-IPO SPACs'!B317</f>
        <v>Gores Holdings VIII, Inc.</v>
      </c>
      <c r="C316" s="95" t="str">
        <f>'Active and Pre-IPO SPACs'!C317</f>
        <v>Searching (Pre Unit Split)</v>
      </c>
      <c r="D316" s="91" t="str">
        <f>'Active and Pre-IPO SPACs'!D317</f>
        <v/>
      </c>
      <c r="E316" s="96" t="str">
        <f>'Active and Pre-IPO SPACs'!E317</f>
        <v/>
      </c>
      <c r="F316" s="97" t="str">
        <f>'Active and Pre-IPO SPACs'!F317</f>
        <v>Alec Gores (Founder of The Gores Group)</v>
      </c>
      <c r="G316" s="98">
        <f>'Active and Pre-IPO SPACs'!P317</f>
        <v>44251</v>
      </c>
      <c r="H316" s="99">
        <f>'Active and Pre-IPO SPACs'!Q317</f>
        <v>345</v>
      </c>
      <c r="I316" s="100" t="str">
        <f>'Active and Pre-IPO SPACs'!M317</f>
        <v>U: [1/8 W]; W: [1:1, $11.5]</v>
      </c>
    </row>
    <row r="317">
      <c r="A317" s="78" t="str">
        <f>'Active and Pre-IPO SPACs'!A318</f>
        <v>GIK</v>
      </c>
      <c r="B317" s="95" t="str">
        <f>'Active and Pre-IPO SPACs'!B318</f>
        <v>GigCapital3 Inc</v>
      </c>
      <c r="C317" s="95" t="str">
        <f>'Active and Pre-IPO SPACs'!C318</f>
        <v>Definitive Agreement</v>
      </c>
      <c r="D317" s="91" t="str">
        <f>'Active and Pre-IPO SPACs'!D318</f>
        <v>TMT (Tech, Media, Telecom)</v>
      </c>
      <c r="E317" s="96" t="str">
        <f>'Active and Pre-IPO SPACs'!E318</f>
        <v>Lightning eMotors [DA: 12/10/20]</v>
      </c>
      <c r="F317" s="97" t="str">
        <f>'Active and Pre-IPO SPACs'!F318</f>
        <v>Avi Katz (Tech entrepreneur; Fmr CEO of Gig Optix and GigCapital I)</v>
      </c>
      <c r="G317" s="98">
        <f>'Active and Pre-IPO SPACs'!P318</f>
        <v>43965</v>
      </c>
      <c r="H317" s="99">
        <f>'Active and Pre-IPO SPACs'!Q318</f>
        <v>202</v>
      </c>
      <c r="I317" s="100" t="str">
        <f>'Active and Pre-IPO SPACs'!M318</f>
        <v>U: [3/4 W]; W: [1:1, $11.5]</v>
      </c>
    </row>
    <row r="318">
      <c r="A318" s="78" t="str">
        <f>'Active and Pre-IPO SPACs'!A319</f>
        <v>GIX</v>
      </c>
      <c r="B318" s="95" t="str">
        <f>'Active and Pre-IPO SPACs'!B319</f>
        <v>GigCapital2, Inc</v>
      </c>
      <c r="C318" s="95" t="str">
        <f>'Active and Pre-IPO SPACs'!C319</f>
        <v>Definitive Agreement</v>
      </c>
      <c r="D318" s="91" t="str">
        <f>'Active and Pre-IPO SPACs'!D319</f>
        <v>TMT (Tech, Media, Telecom)</v>
      </c>
      <c r="E318" s="96" t="str">
        <f>'Active and Pre-IPO SPACs'!E319</f>
        <v>UpHealth and Cloudbreak Health [DA: 11/23/20]</v>
      </c>
      <c r="F318" s="97" t="str">
        <f>'Active and Pre-IPO SPACs'!F319</f>
        <v>Avi Katz (Tech entrepreneur; Fmr CEO of Gig Optix and GigCapital I)</v>
      </c>
      <c r="G318" s="98">
        <f>'Active and Pre-IPO SPACs'!P319</f>
        <v>43622</v>
      </c>
      <c r="H318" s="99">
        <f>'Active and Pre-IPO SPACs'!Q319</f>
        <v>172.5</v>
      </c>
      <c r="I318" s="100" t="str">
        <f>'Active and Pre-IPO SPACs'!M319</f>
        <v>U: [1 W, 1 R (1/20)]; W: [1:1, $11.5]</v>
      </c>
    </row>
    <row r="319">
      <c r="A319" s="78" t="str">
        <f>'Active and Pre-IPO SPACs'!A320</f>
        <v>GLAQ</v>
      </c>
      <c r="B319" s="95" t="str">
        <f>'Active and Pre-IPO SPACs'!B320</f>
        <v>Globis Acquisition Corp.</v>
      </c>
      <c r="C319" s="95" t="str">
        <f>'Active and Pre-IPO SPACs'!C320</f>
        <v>Searching</v>
      </c>
      <c r="D319" s="91" t="str">
        <f>'Active and Pre-IPO SPACs'!D320</f>
        <v/>
      </c>
      <c r="E319" s="96" t="str">
        <f>'Active and Pre-IPO SPACs'!E320</f>
        <v/>
      </c>
      <c r="F319" s="97" t="str">
        <f>'Active and Pre-IPO SPACs'!F320</f>
        <v>Paul Packer (Chairman of The United States Commission for the Preservation of America’s Heritage Abroad), John Horne (Deputy Asst. to Pres. Donald Trump)</v>
      </c>
      <c r="G319" s="98">
        <f>'Active and Pre-IPO SPACs'!P320</f>
        <v>44175</v>
      </c>
      <c r="H319" s="99">
        <f>'Active and Pre-IPO SPACs'!Q320</f>
        <v>116.15</v>
      </c>
      <c r="I319" s="100" t="str">
        <f>'Active and Pre-IPO SPACs'!M320</f>
        <v>U: [1 W]; W: [1:1, $11.5]</v>
      </c>
    </row>
    <row r="320">
      <c r="A320" s="78" t="str">
        <f>'Active and Pre-IPO SPACs'!A321</f>
        <v>GLBL</v>
      </c>
      <c r="B320" s="95" t="str">
        <f>'Active and Pre-IPO SPACs'!B321</f>
        <v>Cartesian Growth Corp</v>
      </c>
      <c r="C320" s="95" t="str">
        <f>'Active and Pre-IPO SPACs'!C321</f>
        <v>Searching (Pre Unit Split)</v>
      </c>
      <c r="D320" s="91" t="str">
        <f>'Active and Pre-IPO SPACs'!D321</f>
        <v/>
      </c>
      <c r="E320" s="96" t="str">
        <f>'Active and Pre-IPO SPACs'!E321</f>
        <v/>
      </c>
      <c r="F320" s="97" t="str">
        <f>'Active and Pre-IPO SPACs'!F321</f>
        <v/>
      </c>
      <c r="G320" s="98">
        <f>'Active and Pre-IPO SPACs'!P321</f>
        <v>44251</v>
      </c>
      <c r="H320" s="99">
        <f>'Active and Pre-IPO SPACs'!Q321</f>
        <v>345</v>
      </c>
      <c r="I320" s="100" t="str">
        <f>'Active and Pre-IPO SPACs'!M321</f>
        <v>U: [1/3 W]; W: [1:1, $11.5]</v>
      </c>
    </row>
    <row r="321">
      <c r="A321" s="78" t="str">
        <f>'Active and Pre-IPO SPACs'!A322</f>
        <v>GLEE</v>
      </c>
      <c r="B321" s="95" t="str">
        <f>'Active and Pre-IPO SPACs'!B322</f>
        <v>Gladstone Acquisition Corp</v>
      </c>
      <c r="C321" s="95" t="str">
        <f>'Active and Pre-IPO SPACs'!C322</f>
        <v>Pre IPO</v>
      </c>
      <c r="D321" s="101" t="str">
        <f>'Active and Pre-IPO SPACs'!D322</f>
        <v>Farming, Agriculture</v>
      </c>
      <c r="E321" s="96" t="str">
        <f>'Active and Pre-IPO SPACs'!E322</f>
        <v/>
      </c>
      <c r="F321" s="97" t="str">
        <f>'Active and Pre-IPO SPACs'!F322</f>
        <v/>
      </c>
      <c r="G321" s="98" t="str">
        <f>'Active and Pre-IPO SPACs'!P322</f>
        <v/>
      </c>
      <c r="H321" s="99">
        <f>'Active and Pre-IPO SPACs'!Q322</f>
        <v>100</v>
      </c>
      <c r="I321" s="100" t="str">
        <f>'Active and Pre-IPO SPACs'!M322</f>
        <v>U: [1/2 W]; W: [1:1, $11.5]</v>
      </c>
    </row>
    <row r="322">
      <c r="A322" s="78" t="str">
        <f>'Active and Pre-IPO SPACs'!A323</f>
        <v>GLEO</v>
      </c>
      <c r="B322" s="95" t="str">
        <f>'Active and Pre-IPO SPACs'!B323</f>
        <v>Galileo Acquisition Corp</v>
      </c>
      <c r="C322" s="95" t="str">
        <f>'Active and Pre-IPO SPACs'!C323</f>
        <v>Searching</v>
      </c>
      <c r="D322" s="91" t="str">
        <f>'Active and Pre-IPO SPACs'!D323</f>
        <v>Italy, Italian family-owned businesses</v>
      </c>
      <c r="E322" s="96" t="str">
        <f>'Active and Pre-IPO SPACs'!E323</f>
        <v/>
      </c>
      <c r="F322" s="97" t="str">
        <f>'Active and Pre-IPO SPACs'!F323</f>
        <v/>
      </c>
      <c r="G322" s="98">
        <f>'Active and Pre-IPO SPACs'!P323</f>
        <v>43756</v>
      </c>
      <c r="H322" s="99">
        <f>'Active and Pre-IPO SPACs'!Q323</f>
        <v>138</v>
      </c>
      <c r="I322" s="100" t="str">
        <f>'Active and Pre-IPO SPACs'!M323</f>
        <v>U: [1 W]; W: [1:1, $11.5]</v>
      </c>
    </row>
    <row r="323">
      <c r="A323" s="78" t="str">
        <f>'Active and Pre-IPO SPACs'!A324</f>
        <v>GLHA</v>
      </c>
      <c r="B323" s="95" t="str">
        <f>'Active and Pre-IPO SPACs'!B324</f>
        <v>Glass Houses Acquisition Corp.</v>
      </c>
      <c r="C323" s="95" t="str">
        <f>'Active and Pre-IPO SPACs'!C324</f>
        <v>Searching (Pre Unit Split)</v>
      </c>
      <c r="D323" s="101" t="str">
        <f>'Active and Pre-IPO SPACs'!D324</f>
        <v>Natural resources (for energy transition), Electrification, Energy Transition, Sustainability</v>
      </c>
      <c r="E323" s="96" t="str">
        <f>'Active and Pre-IPO SPACs'!E324</f>
        <v/>
      </c>
      <c r="F323" s="97" t="str">
        <f>'Active and Pre-IPO SPACs'!F324</f>
        <v>Lee Styslinger III, Chairman and CEO of Altec Inc</v>
      </c>
      <c r="G323" s="98">
        <f>'Active and Pre-IPO SPACs'!P324</f>
        <v>44277</v>
      </c>
      <c r="H323" s="99">
        <f>'Active and Pre-IPO SPACs'!Q324</f>
        <v>200</v>
      </c>
      <c r="I323" s="100" t="str">
        <f>'Active and Pre-IPO SPACs'!M324</f>
        <v>U: [1/2 W]; W: [1:1, $11.5]</v>
      </c>
    </row>
    <row r="324">
      <c r="A324" s="78" t="str">
        <f>'Active and Pre-IPO SPACs'!A325</f>
        <v>GLSP</v>
      </c>
      <c r="B324" s="95" t="str">
        <f>'Active and Pre-IPO SPACs'!B325</f>
        <v>Global SPAC Partners Co.</v>
      </c>
      <c r="C324" s="95" t="str">
        <f>'Active and Pre-IPO SPACs'!C325</f>
        <v>Searching (Pre Unit Split)</v>
      </c>
      <c r="D324" s="101" t="str">
        <f>'Active and Pre-IPO SPACs'!D325</f>
        <v>MENA or South &amp; Southeast Asia</v>
      </c>
      <c r="E324" s="96" t="str">
        <f>'Active and Pre-IPO SPACs'!E325</f>
        <v/>
      </c>
      <c r="F324" s="97" t="str">
        <f>'Active and Pre-IPO SPACs'!F325</f>
        <v/>
      </c>
      <c r="G324" s="98">
        <f>'Active and Pre-IPO SPACs'!P325</f>
        <v>44294</v>
      </c>
      <c r="H324" s="99">
        <f>'Active and Pre-IPO SPACs'!Q325</f>
        <v>160</v>
      </c>
      <c r="I324" s="100" t="str">
        <f>'Active and Pre-IPO SPACs'!M325</f>
        <v>U: [1 SU (1 C, 1/4 W), 1/2 W]; W: [1:1, $11.5]</v>
      </c>
    </row>
    <row r="325">
      <c r="A325" s="78" t="str">
        <f>'Active and Pre-IPO SPACs'!A326</f>
        <v>GLTA</v>
      </c>
      <c r="B325" s="95" t="str">
        <f>'Active and Pre-IPO SPACs'!B326</f>
        <v>Galata Acquisition Corp.</v>
      </c>
      <c r="C325" s="95" t="str">
        <f>'Active and Pre-IPO SPACs'!C326</f>
        <v>Pre IPO</v>
      </c>
      <c r="D325" s="101" t="str">
        <f>'Active and Pre-IPO SPACs'!D326</f>
        <v>Fintech, Tech-enabled financial services: insurance, reinsurance and insurance services, asset management, retail or investment banking, and merchant acquisition &amp; payment processing</v>
      </c>
      <c r="E325" s="96" t="str">
        <f>'Active and Pre-IPO SPACs'!E326</f>
        <v/>
      </c>
      <c r="F325" s="97" t="str">
        <f>'Active and Pre-IPO SPACs'!F326</f>
        <v/>
      </c>
      <c r="G325" s="98" t="str">
        <f>'Active and Pre-IPO SPACs'!P326</f>
        <v/>
      </c>
      <c r="H325" s="99">
        <f>'Active and Pre-IPO SPACs'!Q326</f>
        <v>125</v>
      </c>
      <c r="I325" s="100" t="str">
        <f>'Active and Pre-IPO SPACs'!M326</f>
        <v>U: [1/3 W]; W: [1:1, $11.5]</v>
      </c>
    </row>
    <row r="326">
      <c r="A326" s="78" t="str">
        <f>'Active and Pre-IPO SPACs'!A327</f>
        <v>GMBT</v>
      </c>
      <c r="B326" s="95" t="str">
        <f>'Active and Pre-IPO SPACs'!B327</f>
        <v>Queen’s Gambit Growth Capital</v>
      </c>
      <c r="C326" s="95" t="str">
        <f>'Active and Pre-IPO SPACs'!C327</f>
        <v>Searching</v>
      </c>
      <c r="D326" s="91" t="str">
        <f>'Active and Pre-IPO SPACs'!D327</f>
        <v>Sustainability</v>
      </c>
      <c r="E326" s="96" t="str">
        <f>'Active and Pre-IPO SPACs'!E327</f>
        <v/>
      </c>
      <c r="F326" s="97" t="str">
        <f>'Active and Pre-IPO SPACs'!F327</f>
        <v>Victoria Grace (CEO, Colle Capital Partners), Anastasia Nyrkovskaya (CFO, Fortune Media), Lone Fonss Schroder (Director, IKEA Group and Volvo Car Group)</v>
      </c>
      <c r="G326" s="98">
        <f>'Active and Pre-IPO SPACs'!P327</f>
        <v>44215</v>
      </c>
      <c r="H326" s="99">
        <f>'Active and Pre-IPO SPACs'!Q327</f>
        <v>345</v>
      </c>
      <c r="I326" s="100" t="str">
        <f>'Active and Pre-IPO SPACs'!M327</f>
        <v>U: [1/3 W]; W: [1:1, $11.5]</v>
      </c>
    </row>
    <row r="327">
      <c r="A327" s="78" t="str">
        <f>'Active and Pre-IPO SPACs'!A328</f>
        <v>GMII</v>
      </c>
      <c r="B327" s="95" t="str">
        <f>'Active and Pre-IPO SPACs'!B328</f>
        <v>Gores Metropoulos II, Inc.</v>
      </c>
      <c r="C327" s="95" t="str">
        <f>'Active and Pre-IPO SPACs'!C328</f>
        <v>Searching</v>
      </c>
      <c r="D327" s="101" t="str">
        <f>'Active and Pre-IPO SPACs'!D328</f>
        <v>Consumer Products and Services</v>
      </c>
      <c r="E327" s="96" t="str">
        <f>'Active and Pre-IPO SPACs'!E328</f>
        <v/>
      </c>
      <c r="F327" s="97" t="str">
        <f>'Active and Pre-IPO SPACs'!F328</f>
        <v>Dean Metropoulos (Exec Chairman, Hostess; Fmr Director, Pabst Brewing Co), Alec Gores (Founder of The Gores Group)</v>
      </c>
      <c r="G327" s="98">
        <f>'Active and Pre-IPO SPACs'!P328</f>
        <v>44215</v>
      </c>
      <c r="H327" s="99">
        <f>'Active and Pre-IPO SPACs'!Q328</f>
        <v>450</v>
      </c>
      <c r="I327" s="100" t="str">
        <f>'Active and Pre-IPO SPACs'!M328</f>
        <v>U: [1/5 W]; W: [1:1, $11.5]</v>
      </c>
    </row>
    <row r="328">
      <c r="A328" s="78" t="str">
        <f>'Active and Pre-IPO SPACs'!A329</f>
        <v>GNAC</v>
      </c>
      <c r="B328" s="95" t="str">
        <f>'Active and Pre-IPO SPACs'!B329</f>
        <v>Group Nine Acquisition Corp.</v>
      </c>
      <c r="C328" s="95" t="str">
        <f>'Active and Pre-IPO SPACs'!C329</f>
        <v>Searching</v>
      </c>
      <c r="D328" s="91" t="str">
        <f>'Active and Pre-IPO SPACs'!D329</f>
        <v>Group Nine Media with: Digital media, social media, e-commerce, events. digital publishing, marketing</v>
      </c>
      <c r="E328" s="96" t="str">
        <f>'Active and Pre-IPO SPACs'!E329</f>
        <v/>
      </c>
      <c r="F328" s="97" t="str">
        <f>'Active and Pre-IPO SPACs'!F329</f>
        <v>Ben Lerer (CEO, Group Nine Media: Thrillist, POPSUGAR, The Dodo, NowThis)</v>
      </c>
      <c r="G328" s="98">
        <f>'Active and Pre-IPO SPACs'!P329</f>
        <v>44211</v>
      </c>
      <c r="H328" s="99">
        <f>'Active and Pre-IPO SPACs'!Q329</f>
        <v>230</v>
      </c>
      <c r="I328" s="100" t="str">
        <f>'Active and Pre-IPO SPACs'!M329</f>
        <v>U: [1/3 W]; W: [1:1, $11.5]</v>
      </c>
    </row>
    <row r="329">
      <c r="A329" s="78" t="str">
        <f>'Active and Pre-IPO SPACs'!A330</f>
        <v>GNPK</v>
      </c>
      <c r="B329" s="95" t="str">
        <f>'Active and Pre-IPO SPACs'!B330</f>
        <v>Genesis Park Acquisition Corp.</v>
      </c>
      <c r="C329" s="95" t="str">
        <f>'Active and Pre-IPO SPACs'!C330</f>
        <v>Definitive Agreement</v>
      </c>
      <c r="D329" s="101" t="str">
        <f>'Active and Pre-IPO SPACs'!D330</f>
        <v>Aviation and aviation services</v>
      </c>
      <c r="E329" s="96" t="str">
        <f>'Active and Pre-IPO SPACs'!E330</f>
        <v>Redwire [DA: 03/25/21]</v>
      </c>
      <c r="F329" s="97" t="str">
        <f>'Active and Pre-IPO SPACs'!F330</f>
        <v>Richard Anderson (Fmr CEO, Delta; Fmr CEO, Amtrak), David Siegel (Exec Chairman, Sun Country Airlines; Fmr CEO, Frontier Airlines), Jonathan Baliff (CEO, Bristow)</v>
      </c>
      <c r="G329" s="98">
        <f>'Active and Pre-IPO SPACs'!P330</f>
        <v>44158</v>
      </c>
      <c r="H329" s="99">
        <f>'Active and Pre-IPO SPACs'!Q330</f>
        <v>166.232863</v>
      </c>
      <c r="I329" s="100" t="str">
        <f>'Active and Pre-IPO SPACs'!M330</f>
        <v>U: [1/2 W]; W: [1:1, $11.5]</v>
      </c>
    </row>
    <row r="330">
      <c r="A330" s="78" t="str">
        <f>'Active and Pre-IPO SPACs'!A331</f>
        <v>GNRS</v>
      </c>
      <c r="B330" s="95" t="str">
        <f>'Active and Pre-IPO SPACs'!B331</f>
        <v>Greenrose Acquisition Corp</v>
      </c>
      <c r="C330" s="95" t="str">
        <f>'Active and Pre-IPO SPACs'!C331</f>
        <v>Definitive Agreement</v>
      </c>
      <c r="D330" s="91" t="str">
        <f>'Active and Pre-IPO SPACs'!D331</f>
        <v>Cannabis</v>
      </c>
      <c r="E330" s="96" t="str">
        <f>'Active and Pre-IPO SPACs'!E331</f>
        <v>Shango Holdings, Futureworks, Theraplant, and True Harvest [DA: 03/15/21]</v>
      </c>
      <c r="F330" s="97" t="str">
        <f>'Active and Pre-IPO SPACs'!F331</f>
        <v/>
      </c>
      <c r="G330" s="98">
        <f>'Active and Pre-IPO SPACs'!P331</f>
        <v>43872</v>
      </c>
      <c r="H330" s="99">
        <f>'Active and Pre-IPO SPACs'!Q331</f>
        <v>172.5</v>
      </c>
      <c r="I330" s="100" t="str">
        <f>'Active and Pre-IPO SPACs'!M331</f>
        <v>U: [1 W]; W: [1:1, $11.5]</v>
      </c>
    </row>
    <row r="331">
      <c r="A331" s="78" t="str">
        <f>'Active and Pre-IPO SPACs'!A332</f>
        <v>GOAC</v>
      </c>
      <c r="B331" s="95" t="str">
        <f>'Active and Pre-IPO SPACs'!B332</f>
        <v>GO Acquisition</v>
      </c>
      <c r="C331" s="95" t="str">
        <f>'Active and Pre-IPO SPACs'!C332</f>
        <v>Searching</v>
      </c>
      <c r="D331" s="91" t="str">
        <f>'Active and Pre-IPO SPACs'!D332</f>
        <v>Travel</v>
      </c>
      <c r="E331" s="96" t="str">
        <f>'Active and Pre-IPO SPACs'!E332</f>
        <v/>
      </c>
      <c r="F331" s="97" t="str">
        <f>'Active and Pre-IPO SPACs'!F332</f>
        <v>Greg O'Hara (Founder, Certares; Vice Chairman, Liberty Tripadvisor Holdings; Director, Tripadvisor), Noam Gottesman (co-founder, GLG Partners; Founder/MD of Tom’s Capital)</v>
      </c>
      <c r="G331" s="98">
        <f>'Active and Pre-IPO SPACs'!P332</f>
        <v>44048</v>
      </c>
      <c r="H331" s="99">
        <f>'Active and Pre-IPO SPACs'!Q332</f>
        <v>575</v>
      </c>
      <c r="I331" s="100" t="str">
        <f>'Active and Pre-IPO SPACs'!M332</f>
        <v>U: [1/3 W]; W: [1:1, $11.5]</v>
      </c>
    </row>
    <row r="332">
      <c r="A332" s="78" t="str">
        <f>'Active and Pre-IPO SPACs'!A333</f>
        <v>GPAC</v>
      </c>
      <c r="B332" s="95" t="str">
        <f>'Active and Pre-IPO SPACs'!B333</f>
        <v>Global Partner Acquisition Corp II</v>
      </c>
      <c r="C332" s="95" t="str">
        <f>'Active and Pre-IPO SPACs'!C333</f>
        <v>Searching</v>
      </c>
      <c r="D332" s="91" t="str">
        <f>'Active and Pre-IPO SPACs'!D333</f>
        <v>Consumer, Food, Branded products, E-commerce, retail disruptors, Consumer healthcare</v>
      </c>
      <c r="E332" s="96" t="str">
        <f>'Active and Pre-IPO SPACs'!E333</f>
        <v/>
      </c>
      <c r="F332" s="97" t="str">
        <f>'Active and Pre-IPO SPACs'!F333</f>
        <v>Paul Zepf (Non-exec Chairman, Purple; Fmr CEO, GPAC)</v>
      </c>
      <c r="G332" s="98">
        <f>'Active and Pre-IPO SPACs'!P333</f>
        <v>44207</v>
      </c>
      <c r="H332" s="99">
        <f>'Active and Pre-IPO SPACs'!Q333</f>
        <v>300</v>
      </c>
      <c r="I332" s="100" t="str">
        <f>'Active and Pre-IPO SPACs'!M333</f>
        <v>U: [1/6 W]; W: [1:1, $11.5]</v>
      </c>
    </row>
    <row r="333">
      <c r="A333" s="78" t="str">
        <f>'Active and Pre-IPO SPACs'!A334</f>
        <v>GPAT</v>
      </c>
      <c r="B333" s="95" t="str">
        <f>'Active and Pre-IPO SPACs'!B334</f>
        <v>GP-Act III Acquisition Corp.</v>
      </c>
      <c r="C333" s="95" t="str">
        <f>'Active and Pre-IPO SPACs'!C334</f>
        <v>Pre IPO</v>
      </c>
      <c r="D333" s="101" t="str">
        <f>'Active and Pre-IPO SPACs'!D334</f>
        <v>Consumer</v>
      </c>
      <c r="E333" s="96" t="str">
        <f>'Active and Pre-IPO SPACs'!E334</f>
        <v/>
      </c>
      <c r="F333" s="97" t="str">
        <f>'Active and Pre-IPO SPACs'!F334</f>
        <v>Fersen Lamas Lambranho (Chairman of GP Investments), Irwin Simon (Co-founder of The Hain Celestial Group, Chairman &amp; CEO of Aphria, Former Director of Barnes &amp; Noble), Antonio Bonchristiano (CEO of GP Investments), George Roeth (Former CEO of Central Garden and Pet, Former COO of Clorox)</v>
      </c>
      <c r="G333" s="98" t="str">
        <f>'Active and Pre-IPO SPACs'!P334</f>
        <v/>
      </c>
      <c r="H333" s="99">
        <f>'Active and Pre-IPO SPACs'!Q334</f>
        <v>250</v>
      </c>
      <c r="I333" s="100" t="str">
        <f>'Active and Pre-IPO SPACs'!M334</f>
        <v>U: [1/3 W]; W: [1:1, $11.5]</v>
      </c>
    </row>
    <row r="334">
      <c r="A334" s="78" t="str">
        <f>'Active and Pre-IPO SPACs'!A335</f>
        <v>GRAF</v>
      </c>
      <c r="B334" s="95" t="str">
        <f>'Active and Pre-IPO SPACs'!B335</f>
        <v>Graf Acquisition Corp. III</v>
      </c>
      <c r="C334" s="95" t="str">
        <f>'Active and Pre-IPO SPACs'!C335</f>
        <v>Pre IPO</v>
      </c>
      <c r="D334" s="91" t="str">
        <f>'Active and Pre-IPO SPACs'!D335</f>
        <v/>
      </c>
      <c r="E334" s="96" t="str">
        <f>'Active and Pre-IPO SPACs'!E335</f>
        <v/>
      </c>
      <c r="F334" s="97" t="str">
        <f>'Active and Pre-IPO SPACs'!F335</f>
        <v>James Graf (Former CEO of Graf Industrial Corp)</v>
      </c>
      <c r="G334" s="98" t="str">
        <f>'Active and Pre-IPO SPACs'!P335</f>
        <v/>
      </c>
      <c r="H334" s="99">
        <f>'Active and Pre-IPO SPACs'!Q335</f>
        <v>300</v>
      </c>
      <c r="I334" s="100" t="str">
        <f>'Active and Pre-IPO SPACs'!M335</f>
        <v>U: [1/3 W]; W: [1:1, $11.5]</v>
      </c>
    </row>
    <row r="335">
      <c r="A335" s="78" t="str">
        <f>'Active and Pre-IPO SPACs'!A336</f>
        <v>GRCY</v>
      </c>
      <c r="B335" s="95" t="str">
        <f>'Active and Pre-IPO SPACs'!B336</f>
        <v>Greencity Acquisition</v>
      </c>
      <c r="C335" s="95" t="str">
        <f>'Active and Pre-IPO SPACs'!C336</f>
        <v>Searching</v>
      </c>
      <c r="D335" s="91" t="str">
        <f>'Active and Pre-IPO SPACs'!D336</f>
        <v>Asia</v>
      </c>
      <c r="E335" s="96" t="str">
        <f>'Active and Pre-IPO SPACs'!E336</f>
        <v/>
      </c>
      <c r="F335" s="97" t="str">
        <f>'Active and Pre-IPO SPACs'!F336</f>
        <v/>
      </c>
      <c r="G335" s="98">
        <f>'Active and Pre-IPO SPACs'!P336</f>
        <v>44035</v>
      </c>
      <c r="H335" s="99">
        <f>'Active and Pre-IPO SPACs'!Q336</f>
        <v>40.6</v>
      </c>
      <c r="I335" s="100" t="str">
        <f>'Active and Pre-IPO SPACs'!M336</f>
        <v>U: [1 W]; W: [2:1, $11.5]</v>
      </c>
    </row>
    <row r="336">
      <c r="A336" s="78" t="str">
        <f>'Active and Pre-IPO SPACs'!A337</f>
        <v>GRNV</v>
      </c>
      <c r="B336" s="95" t="str">
        <f>'Active and Pre-IPO SPACs'!B337</f>
        <v>GreenVision Acquisition Corp</v>
      </c>
      <c r="C336" s="95" t="str">
        <f>'Active and Pre-IPO SPACs'!C337</f>
        <v>Definitive Agreement</v>
      </c>
      <c r="D336" s="91" t="str">
        <f>'Active and Pre-IPO SPACs'!D337</f>
        <v>Healthcare, China, Asia, Life Sciences</v>
      </c>
      <c r="E336" s="96" t="str">
        <f>'Active and Pre-IPO SPACs'!E337</f>
        <v>Helbiz [DA: 02/08/21]</v>
      </c>
      <c r="F336" s="97" t="str">
        <f>'Active and Pre-IPO SPACs'!F337</f>
        <v/>
      </c>
      <c r="G336" s="98">
        <f>'Active and Pre-IPO SPACs'!P337</f>
        <v>43788</v>
      </c>
      <c r="H336" s="99">
        <f>'Active and Pre-IPO SPACs'!Q337</f>
        <v>57.5</v>
      </c>
      <c r="I336" s="100" t="str">
        <f>'Active and Pre-IPO SPACs'!M337</f>
        <v>U: [1 W, 1 R (1/10 sh)]; W: [1:1, $11.5]</v>
      </c>
    </row>
    <row r="337">
      <c r="A337" s="78" t="str">
        <f>'Active and Pre-IPO SPACs'!A338</f>
        <v>GRSV</v>
      </c>
      <c r="B337" s="95" t="str">
        <f>'Active and Pre-IPO SPACs'!B338</f>
        <v>Gores Holdings V, Inc</v>
      </c>
      <c r="C337" s="95" t="str">
        <f>'Active and Pre-IPO SPACs'!C338</f>
        <v>Definitive Agreement</v>
      </c>
      <c r="D337" s="91" t="str">
        <f>'Active and Pre-IPO SPACs'!D338</f>
        <v/>
      </c>
      <c r="E337" s="96" t="str">
        <f>'Active and Pre-IPO SPACs'!E338</f>
        <v>Ardagh Metal Packaging [DA: 02/23/21]</v>
      </c>
      <c r="F337" s="97" t="str">
        <f>'Active and Pre-IPO SPACs'!F338</f>
        <v>Alec Gores (Founder of The Gores Group)</v>
      </c>
      <c r="G337" s="98">
        <f>'Active and Pre-IPO SPACs'!P338</f>
        <v>44048</v>
      </c>
      <c r="H337" s="99">
        <f>'Active and Pre-IPO SPACs'!Q338</f>
        <v>525</v>
      </c>
      <c r="I337" s="100" t="str">
        <f>'Active and Pre-IPO SPACs'!M338</f>
        <v>U: [1/5 W]; W: [1:1, $11.5]</v>
      </c>
    </row>
    <row r="338">
      <c r="A338" s="78" t="str">
        <f>'Active and Pre-IPO SPACs'!A339</f>
        <v>GSAH</v>
      </c>
      <c r="B338" s="95" t="str">
        <f>'Active and Pre-IPO SPACs'!B339</f>
        <v>GS Acquisition Holdings II</v>
      </c>
      <c r="C338" s="95" t="str">
        <f>'Active and Pre-IPO SPACs'!C339</f>
        <v>Searching</v>
      </c>
      <c r="D338" s="91" t="str">
        <f>'Active and Pre-IPO SPACs'!D339</f>
        <v/>
      </c>
      <c r="E338" s="96" t="str">
        <f>'Active and Pre-IPO SPACs'!E339</f>
        <v/>
      </c>
      <c r="F338" s="97" t="str">
        <f>'Active and Pre-IPO SPACs'!F339</f>
        <v>Goldman Sachs, Steven Reinemund (Former Exec Chairman, Fmr Chairman/CEO, PepsiCo), David Robinson (NBA Player; Co-founder, Admiral Capital Group)</v>
      </c>
      <c r="G338" s="98">
        <f>'Active and Pre-IPO SPACs'!P339</f>
        <v>44012</v>
      </c>
      <c r="H338" s="99">
        <f>'Active and Pre-IPO SPACs'!Q339</f>
        <v>750</v>
      </c>
      <c r="I338" s="100" t="str">
        <f>'Active and Pre-IPO SPACs'!M339</f>
        <v>U: [1/4 W]; W: [1:1, $11.5]</v>
      </c>
    </row>
    <row r="339">
      <c r="A339" s="78" t="str">
        <f>'Active and Pre-IPO SPACs'!A340</f>
        <v>GSAQ</v>
      </c>
      <c r="B339" s="95" t="str">
        <f>'Active and Pre-IPO SPACs'!B340</f>
        <v>Global Synergy Acquisition Corp.</v>
      </c>
      <c r="C339" s="95" t="str">
        <f>'Active and Pre-IPO SPACs'!C340</f>
        <v>Searching</v>
      </c>
      <c r="D339" s="91" t="str">
        <f>'Active and Pre-IPO SPACs'!D340</f>
        <v>Tech Services, IT Enabled Services</v>
      </c>
      <c r="E339" s="96" t="str">
        <f>'Active and Pre-IPO SPACs'!E340</f>
        <v/>
      </c>
      <c r="F339" s="97" t="str">
        <f>'Active and Pre-IPO SPACs'!F340</f>
        <v/>
      </c>
      <c r="G339" s="98">
        <f>'Active and Pre-IPO SPACs'!P340</f>
        <v>44204</v>
      </c>
      <c r="H339" s="99">
        <f>'Active and Pre-IPO SPACs'!Q340</f>
        <v>258.75</v>
      </c>
      <c r="I339" s="100" t="str">
        <f>'Active and Pre-IPO SPACs'!M340</f>
        <v>U: [1/2 W]; W: [1:1, $11.5]</v>
      </c>
    </row>
    <row r="340">
      <c r="A340" s="78" t="str">
        <f>'Active and Pre-IPO SPACs'!A341</f>
        <v>GSEV</v>
      </c>
      <c r="B340" s="95" t="str">
        <f>'Active and Pre-IPO SPACs'!B341</f>
        <v>Gores Holdings VII, Inc.</v>
      </c>
      <c r="C340" s="95" t="str">
        <f>'Active and Pre-IPO SPACs'!C341</f>
        <v>Searching (Pre Unit Split)</v>
      </c>
      <c r="D340" s="91" t="str">
        <f>'Active and Pre-IPO SPACs'!D341</f>
        <v/>
      </c>
      <c r="E340" s="96" t="str">
        <f>'Active and Pre-IPO SPACs'!E341</f>
        <v/>
      </c>
      <c r="F340" s="97" t="str">
        <f>'Active and Pre-IPO SPACs'!F341</f>
        <v>Alec Gores (Founder of The Gores Group)</v>
      </c>
      <c r="G340" s="98">
        <f>'Active and Pre-IPO SPACs'!P341</f>
        <v>44250</v>
      </c>
      <c r="H340" s="99">
        <f>'Active and Pre-IPO SPACs'!Q341</f>
        <v>550</v>
      </c>
      <c r="I340" s="100" t="str">
        <f>'Active and Pre-IPO SPACs'!M341</f>
        <v>U: [1/8 W]; W: [1:1, $11.5]</v>
      </c>
    </row>
    <row r="341">
      <c r="A341" s="78" t="str">
        <f>'Active and Pre-IPO SPACs'!A342</f>
        <v>GSQD</v>
      </c>
      <c r="B341" s="95" t="str">
        <f>'Active and Pre-IPO SPACs'!B342</f>
        <v>G Squared Ascend I Inc.</v>
      </c>
      <c r="C341" s="95" t="str">
        <f>'Active and Pre-IPO SPACs'!C342</f>
        <v>Searching</v>
      </c>
      <c r="D341" s="101" t="str">
        <f>'Active and Pre-IPO SPACs'!D342</f>
        <v>Tech, SaaS, Online Marketplaces, Mobility 2.0/ Logistics, Fintech, Insurtech, New Age Media &amp; Sustainability</v>
      </c>
      <c r="E341" s="96" t="str">
        <f>'Active and Pre-IPO SPACs'!E342</f>
        <v/>
      </c>
      <c r="F341" s="97" t="str">
        <f>'Active and Pre-IPO SPACs'!F342</f>
        <v>Thomas Evans (Fmr CEO, Bankrate; Director, Angie’s Home Services, Shutterstock), Lauri Shanahan (Fmr Chief Legal/Administrative Officer, Gap), Steve Papa (Founder/CEO, Parallel Wireless; Founder/CEO, Endeca)</v>
      </c>
      <c r="G341" s="98">
        <f>'Active and Pre-IPO SPACs'!P342</f>
        <v>44231</v>
      </c>
      <c r="H341" s="99">
        <f>'Active and Pre-IPO SPACs'!Q342</f>
        <v>345</v>
      </c>
      <c r="I341" s="100" t="str">
        <f>'Active and Pre-IPO SPACs'!M342</f>
        <v>U: [1/5 W]; W: [1:1, $11.5]</v>
      </c>
    </row>
    <row r="342">
      <c r="A342" s="78" t="str">
        <f>'Active and Pre-IPO SPACs'!A343</f>
        <v>GTOO</v>
      </c>
      <c r="B342" s="95" t="str">
        <f>'Active and Pre-IPO SPACs'!B343</f>
        <v>Graf Acquisition Corp. II</v>
      </c>
      <c r="C342" s="95" t="str">
        <f>'Active and Pre-IPO SPACs'!C343</f>
        <v>Pre IPO</v>
      </c>
      <c r="D342" s="91" t="str">
        <f>'Active and Pre-IPO SPACs'!D343</f>
        <v>Industrial</v>
      </c>
      <c r="E342" s="96" t="str">
        <f>'Active and Pre-IPO SPACs'!E343</f>
        <v/>
      </c>
      <c r="F342" s="97" t="str">
        <f>'Active and Pre-IPO SPACs'!F343</f>
        <v>James Graf (Director, Veoldyne Lidar; Fmr CEO, GRAF)</v>
      </c>
      <c r="G342" s="98" t="str">
        <f>'Active and Pre-IPO SPACs'!P343</f>
        <v/>
      </c>
      <c r="H342" s="99">
        <f>'Active and Pre-IPO SPACs'!Q343</f>
        <v>225</v>
      </c>
      <c r="I342" s="100" t="str">
        <f>'Active and Pre-IPO SPACs'!M343</f>
        <v>U: [1/3 W]; W: [1:1, $11.5]</v>
      </c>
    </row>
    <row r="343">
      <c r="A343" s="78" t="str">
        <f>'Active and Pre-IPO SPACs'!A344</f>
        <v>GTPA</v>
      </c>
      <c r="B343" s="95" t="str">
        <f>'Active and Pre-IPO SPACs'!B344</f>
        <v>Gores Technology Partners, Inc.</v>
      </c>
      <c r="C343" s="95" t="str">
        <f>'Active and Pre-IPO SPACs'!C344</f>
        <v>Searching (Pre Unit Split)</v>
      </c>
      <c r="D343" s="101" t="str">
        <f>'Active and Pre-IPO SPACs'!D344</f>
        <v>Tech: consumer internet, enterprise software, fintech, digital health, proptech, gaming, agtech, &amp; logistics</v>
      </c>
      <c r="E343" s="96" t="str">
        <f>'Active and Pre-IPO SPACs'!E344</f>
        <v/>
      </c>
      <c r="F343" s="97" t="str">
        <f>'Active and Pre-IPO SPACs'!F344</f>
        <v>Alec Gores (Founder of The Gores Group), Manik Gupta (Fmr Chief Product Officer, Uber), Muhammad Shahzad (Fmr CFO, The Honest Company)</v>
      </c>
      <c r="G343" s="98">
        <f>'Active and Pre-IPO SPACs'!P344</f>
        <v>44266</v>
      </c>
      <c r="H343" s="99">
        <f>'Active and Pre-IPO SPACs'!Q344</f>
        <v>275</v>
      </c>
      <c r="I343" s="100" t="str">
        <f>'Active and Pre-IPO SPACs'!M344</f>
        <v>U: [1/5 W]; W: [1:1, $11.5]</v>
      </c>
    </row>
    <row r="344">
      <c r="A344" s="78" t="str">
        <f>'Active and Pre-IPO SPACs'!A345</f>
        <v>GTPB</v>
      </c>
      <c r="B344" s="95" t="str">
        <f>'Active and Pre-IPO SPACs'!B345</f>
        <v>Gores Technology Partners II, Inc.</v>
      </c>
      <c r="C344" s="95" t="str">
        <f>'Active and Pre-IPO SPACs'!C345</f>
        <v>Searching (Pre Unit Split)</v>
      </c>
      <c r="D344" s="101" t="str">
        <f>'Active and Pre-IPO SPACs'!D345</f>
        <v>Tech: consumer internet, enterprise software, fintech, digital health, proptech, gaming, agtech, &amp; logistics</v>
      </c>
      <c r="E344" s="96" t="str">
        <f>'Active and Pre-IPO SPACs'!E345</f>
        <v/>
      </c>
      <c r="F344" s="97" t="str">
        <f>'Active and Pre-IPO SPACs'!F345</f>
        <v>Alec Gores (Founder of The Gores Group)</v>
      </c>
      <c r="G344" s="98">
        <f>'Active and Pre-IPO SPACs'!P345</f>
        <v>44266</v>
      </c>
      <c r="H344" s="99">
        <f>'Active and Pre-IPO SPACs'!Q345</f>
        <v>460</v>
      </c>
      <c r="I344" s="100" t="str">
        <f>'Active and Pre-IPO SPACs'!M345</f>
        <v>U: [1/5 W]; W: [1:1, $11.5]</v>
      </c>
    </row>
    <row r="345">
      <c r="A345" s="78" t="str">
        <f>'Active and Pre-IPO SPACs'!A346</f>
        <v>GWAC</v>
      </c>
      <c r="B345" s="95" t="str">
        <f>'Active and Pre-IPO SPACs'!B346</f>
        <v>Good Works Acquisition Corp.</v>
      </c>
      <c r="C345" s="95" t="str">
        <f>'Active and Pre-IPO SPACs'!C346</f>
        <v>Definitive Agreement</v>
      </c>
      <c r="D345" s="91" t="str">
        <f>'Active and Pre-IPO SPACs'!D346</f>
        <v>Financially Distressed</v>
      </c>
      <c r="E345" s="96" t="str">
        <f>'Active and Pre-IPO SPACs'!E346</f>
        <v>Cipher Mining [DA: 03/05/21]</v>
      </c>
      <c r="F345" s="97" t="str">
        <f>'Active and Pre-IPO SPACs'!F346</f>
        <v>Fred Zeidman (Chairman, Gordian Group), Douglas Wurth (Former CEO of Alt Investments, JP Morgan)</v>
      </c>
      <c r="G345" s="98">
        <f>'Active and Pre-IPO SPACs'!P346</f>
        <v>44124</v>
      </c>
      <c r="H345" s="99">
        <f>'Active and Pre-IPO SPACs'!Q346</f>
        <v>170</v>
      </c>
      <c r="I345" s="100" t="str">
        <f>'Active and Pre-IPO SPACs'!M346</f>
        <v>U: [1/2 W]; W: [1:1, $11.5]</v>
      </c>
    </row>
    <row r="346">
      <c r="A346" s="78" t="str">
        <f>'Active and Pre-IPO SPACs'!A347</f>
        <v>GWII</v>
      </c>
      <c r="B346" s="95" t="str">
        <f>'Active and Pre-IPO SPACs'!B347</f>
        <v>Good Works II Acquisition Corp.</v>
      </c>
      <c r="C346" s="95" t="str">
        <f>'Active and Pre-IPO SPACs'!C347</f>
        <v>Pre IPO</v>
      </c>
      <c r="D346" s="101" t="str">
        <f>'Active and Pre-IPO SPACs'!D347</f>
        <v>COVID-19 Disruptions, Restructuring, Tech</v>
      </c>
      <c r="E346" s="96" t="str">
        <f>'Active and Pre-IPO SPACs'!E347</f>
        <v/>
      </c>
      <c r="F346" s="97" t="str">
        <f>'Active and Pre-IPO SPACs'!F347</f>
        <v>Fred Zeidman (Chairman, Gordian Group), Douglas Wurth (Former CEO of Alt Investments, JP Morgan)</v>
      </c>
      <c r="G346" s="98" t="str">
        <f>'Active and Pre-IPO SPACs'!P347</f>
        <v/>
      </c>
      <c r="H346" s="99">
        <f>'Active and Pre-IPO SPACs'!Q347</f>
        <v>200</v>
      </c>
      <c r="I346" s="100" t="str">
        <f>'Active and Pre-IPO SPACs'!M347</f>
        <v>U: [1/3 W]; W: [1:1, $11.5]</v>
      </c>
    </row>
    <row r="347">
      <c r="A347" s="78" t="str">
        <f>'Active and Pre-IPO SPACs'!A348</f>
        <v>GXGX</v>
      </c>
      <c r="B347" s="95" t="str">
        <f>'Active and Pre-IPO SPACs'!B348</f>
        <v>GX Acquisition Corp</v>
      </c>
      <c r="C347" s="95" t="str">
        <f>'Active and Pre-IPO SPACs'!C348</f>
        <v>Definitive Agreement</v>
      </c>
      <c r="D347" s="91" t="str">
        <f>'Active and Pre-IPO SPACs'!D348</f>
        <v/>
      </c>
      <c r="E347" s="96" t="str">
        <f>'Active and Pre-IPO SPACs'!E348</f>
        <v>Cellularity [DA: 01/08/21]</v>
      </c>
      <c r="F347" s="97" t="str">
        <f>'Active and Pre-IPO SPACs'!F348</f>
        <v/>
      </c>
      <c r="G347" s="98">
        <f>'Active and Pre-IPO SPACs'!P348</f>
        <v>43606</v>
      </c>
      <c r="H347" s="99">
        <f>'Active and Pre-IPO SPACs'!Q348</f>
        <v>287.5</v>
      </c>
      <c r="I347" s="100" t="str">
        <f>'Active and Pre-IPO SPACs'!M348</f>
        <v>U: [1/2 W]; W: [1:1, $11.5]</v>
      </c>
    </row>
    <row r="348">
      <c r="A348" s="78" t="str">
        <f>'Active and Pre-IPO SPACs'!A349</f>
        <v>GXII</v>
      </c>
      <c r="B348" s="95" t="str">
        <f>'Active and Pre-IPO SPACs'!B349</f>
        <v>GX Acquisition Corp. II</v>
      </c>
      <c r="C348" s="95" t="str">
        <f>'Active and Pre-IPO SPACs'!C349</f>
        <v>Searching (Pre Unit Split)</v>
      </c>
      <c r="D348" s="91" t="str">
        <f>'Active and Pre-IPO SPACs'!D349</f>
        <v/>
      </c>
      <c r="E348" s="96" t="str">
        <f>'Active and Pre-IPO SPACs'!E349</f>
        <v/>
      </c>
      <c r="F348" s="97" t="str">
        <f>'Active and Pre-IPO SPACs'!F349</f>
        <v/>
      </c>
      <c r="G348" s="98">
        <f>'Active and Pre-IPO SPACs'!P349</f>
        <v>44272</v>
      </c>
      <c r="H348" s="99">
        <f>'Active and Pre-IPO SPACs'!Q349</f>
        <v>300</v>
      </c>
      <c r="I348" s="100" t="str">
        <f>'Active and Pre-IPO SPACs'!M349</f>
        <v>U: [1/3 W]; W: [1:1, $11.5]</v>
      </c>
    </row>
    <row r="349">
      <c r="A349" s="78" t="str">
        <f>'Active and Pre-IPO SPACs'!A350</f>
        <v>HAAC</v>
      </c>
      <c r="B349" s="95" t="str">
        <f>'Active and Pre-IPO SPACs'!B350</f>
        <v>Health Assurance Acquisition Corp.</v>
      </c>
      <c r="C349" s="95" t="str">
        <f>'Active and Pre-IPO SPACs'!C350</f>
        <v>Searching</v>
      </c>
      <c r="D349" s="91" t="str">
        <f>'Active and Pre-IPO SPACs'!D350</f>
        <v>Healthcare, Health Tech</v>
      </c>
      <c r="E349" s="96" t="str">
        <f>'Active and Pre-IPO SPACs'!E350</f>
        <v/>
      </c>
      <c r="F349" s="97" t="str">
        <f>'Active and Pre-IPO SPACs'!F350</f>
        <v>Hemant Taneja (MP, General Catalyst), Quentin Clark (Former CTO, Dropbox), Anita Pramoda (Fmr Chair, Federal Reserve Bank of SF), Glen Tullman (Founder and Chairman, Livongo)</v>
      </c>
      <c r="G349" s="98">
        <f>'Active and Pre-IPO SPACs'!P350</f>
        <v>44147</v>
      </c>
      <c r="H349" s="99">
        <f>'Active and Pre-IPO SPACs'!Q350</f>
        <v>525</v>
      </c>
      <c r="I349" s="100" t="str">
        <f>'Active and Pre-IPO SPACs'!M350</f>
        <v>U: [1/4 W]; W: [1:1, $11.5]</v>
      </c>
    </row>
    <row r="350">
      <c r="A350" s="78" t="str">
        <f>'Active and Pre-IPO SPACs'!A351</f>
        <v>HCAA</v>
      </c>
      <c r="B350" s="95" t="str">
        <f>'Active and Pre-IPO SPACs'!B351</f>
        <v>Hony Capital Acquisition Corp.</v>
      </c>
      <c r="C350" s="95" t="str">
        <f>'Active and Pre-IPO SPACs'!C351</f>
        <v>Pre IPO</v>
      </c>
      <c r="D350" s="91" t="str">
        <f>'Active and Pre-IPO SPACs'!D351</f>
        <v>Halthcare and Consumer in China </v>
      </c>
      <c r="E350" s="96" t="str">
        <f>'Active and Pre-IPO SPACs'!E351</f>
        <v/>
      </c>
      <c r="F350" s="97" t="str">
        <f>'Active and Pre-IPO SPACs'!F351</f>
        <v>John Zhao (Chairman/CEO, Hony Capital)</v>
      </c>
      <c r="G350" s="98" t="str">
        <f>'Active and Pre-IPO SPACs'!P351</f>
        <v/>
      </c>
      <c r="H350" s="99">
        <f>'Active and Pre-IPO SPACs'!Q351</f>
        <v>300</v>
      </c>
      <c r="I350" s="100" t="str">
        <f>'Active and Pre-IPO SPACs'!M351</f>
        <v>U: [1/2 W]; W: [1:1, $11.5]</v>
      </c>
    </row>
    <row r="351">
      <c r="A351" s="78" t="str">
        <f>'Active and Pre-IPO SPACs'!A352</f>
        <v>HCAQ</v>
      </c>
      <c r="B351" s="95" t="str">
        <f>'Active and Pre-IPO SPACs'!B352</f>
        <v>HealthCor Catalio Acquisition Corp.​</v>
      </c>
      <c r="C351" s="95" t="str">
        <f>'Active and Pre-IPO SPACs'!C352</f>
        <v>Searching</v>
      </c>
      <c r="D351" s="91" t="str">
        <f>'Active and Pre-IPO SPACs'!D352</f>
        <v>Healthcare</v>
      </c>
      <c r="E351" s="96" t="str">
        <f>'Active and Pre-IPO SPACs'!E352</f>
        <v/>
      </c>
      <c r="F351" s="97" t="str">
        <f>'Active and Pre-IPO SPACs'!F352</f>
        <v/>
      </c>
      <c r="G351" s="98">
        <f>'Active and Pre-IPO SPACs'!P352</f>
        <v>44222</v>
      </c>
      <c r="H351" s="99">
        <f>'Active and Pre-IPO SPACs'!Q352</f>
        <v>202.868</v>
      </c>
      <c r="I351" s="100" t="str">
        <f>'Active and Pre-IPO SPACs'!M352</f>
        <v>U: [No units]; W: [No warrants]</v>
      </c>
    </row>
    <row r="352">
      <c r="A352" s="78" t="str">
        <f>'Active and Pre-IPO SPACs'!A353</f>
        <v>HCAR</v>
      </c>
      <c r="B352" s="95" t="str">
        <f>'Active and Pre-IPO SPACs'!B353</f>
        <v>Healthcare Services Acquisition Corp</v>
      </c>
      <c r="C352" s="95" t="str">
        <f>'Active and Pre-IPO SPACs'!C353</f>
        <v>Searching</v>
      </c>
      <c r="D352" s="91" t="str">
        <f>'Active and Pre-IPO SPACs'!D353</f>
        <v>Healthcare Services</v>
      </c>
      <c r="E352" s="96" t="str">
        <f>'Active and Pre-IPO SPACs'!E353</f>
        <v/>
      </c>
      <c r="F352" s="97" t="str">
        <f>'Active and Pre-IPO SPACs'!F353</f>
        <v>David Blair (Former CEO, Catalyst Health)</v>
      </c>
      <c r="G352" s="98">
        <f>'Active and Pre-IPO SPACs'!P353</f>
        <v>44187</v>
      </c>
      <c r="H352" s="99">
        <f>'Active and Pre-IPO SPACs'!Q353</f>
        <v>331.2</v>
      </c>
      <c r="I352" s="100" t="str">
        <f>'Active and Pre-IPO SPACs'!M353</f>
        <v>U: [1/2 W]; W: [1:1, $11.5]</v>
      </c>
    </row>
    <row r="353">
      <c r="A353" s="78" t="str">
        <f>'Active and Pre-IPO SPACs'!A354</f>
        <v>HCCC</v>
      </c>
      <c r="B353" s="95" t="str">
        <f>'Active and Pre-IPO SPACs'!B354</f>
        <v>Healthcare Capital Corp.</v>
      </c>
      <c r="C353" s="95" t="str">
        <f>'Active and Pre-IPO SPACs'!C354</f>
        <v>Searching</v>
      </c>
      <c r="D353" s="91" t="str">
        <f>'Active and Pre-IPO SPACs'!D354</f>
        <v>Digital/Telehealth, Life Sciences, Medical Devices, HealthTech</v>
      </c>
      <c r="E353" s="96" t="str">
        <f>'Active and Pre-IPO SPACs'!E354</f>
        <v/>
      </c>
      <c r="F353" s="97" t="str">
        <f>'Active and Pre-IPO SPACs'!F354</f>
        <v/>
      </c>
      <c r="G353" s="98">
        <f>'Active and Pre-IPO SPACs'!P354</f>
        <v>44210</v>
      </c>
      <c r="H353" s="99">
        <f>'Active and Pre-IPO SPACs'!Q354</f>
        <v>275</v>
      </c>
      <c r="I353" s="100" t="str">
        <f>'Active and Pre-IPO SPACs'!M354</f>
        <v>U: [1/2 W]; W: [1:1, $11.5]</v>
      </c>
    </row>
    <row r="354">
      <c r="A354" s="78" t="str">
        <f>'Active and Pre-IPO SPACs'!A355</f>
        <v>HCCR</v>
      </c>
      <c r="B354" s="95" t="str">
        <f>'Active and Pre-IPO SPACs'!B355</f>
        <v>HighCape Capital Acquisition Corp. II</v>
      </c>
      <c r="C354" s="95" t="str">
        <f>'Active and Pre-IPO SPACs'!C355</f>
        <v>Pre IPO</v>
      </c>
      <c r="D354" s="101" t="str">
        <f>'Active and Pre-IPO SPACs'!D355</f>
        <v>Life Sciences</v>
      </c>
      <c r="E354" s="96" t="str">
        <f>'Active and Pre-IPO SPACs'!E355</f>
        <v/>
      </c>
      <c r="F354" s="97" t="str">
        <f>'Active and Pre-IPO SPACs'!F355</f>
        <v>Kevin Rakin (Partner of High Cape Capital)</v>
      </c>
      <c r="G354" s="98" t="str">
        <f>'Active and Pre-IPO SPACs'!P355</f>
        <v/>
      </c>
      <c r="H354" s="99">
        <f>'Active and Pre-IPO SPACs'!Q355</f>
        <v>200</v>
      </c>
      <c r="I354" s="100" t="str">
        <f>'Active and Pre-IPO SPACs'!M355</f>
        <v>U: [1/4 W]; W: [1:1, $11.5]</v>
      </c>
    </row>
    <row r="355">
      <c r="A355" s="78" t="str">
        <f>'Active and Pre-IPO SPACs'!A356</f>
        <v>HCIC</v>
      </c>
      <c r="B355" s="95" t="str">
        <f>'Active and Pre-IPO SPACs'!B356</f>
        <v>Hennessy Capital Investment Corp. V</v>
      </c>
      <c r="C355" s="95" t="str">
        <f>'Active and Pre-IPO SPACs'!C356</f>
        <v>Searching</v>
      </c>
      <c r="D355" s="101" t="str">
        <f>'Active and Pre-IPO SPACs'!D356</f>
        <v>Sustainable Industrial Tech &amp; Infrastructure</v>
      </c>
      <c r="E355" s="96" t="str">
        <f>'Active and Pre-IPO SPACs'!E356</f>
        <v/>
      </c>
      <c r="F355" s="97" t="str">
        <f>'Active and Pre-IPO SPACs'!F356</f>
        <v>Daniel Hennessy, Jeff Immelt (Fmr Chairman/CEO, General Electric; Director, Twilio), Tanguy Serra (Fmr Pres, SolarCity)</v>
      </c>
      <c r="G355" s="98">
        <f>'Active and Pre-IPO SPACs'!P356</f>
        <v>44210</v>
      </c>
      <c r="H355" s="99">
        <f>'Active and Pre-IPO SPACs'!Q356</f>
        <v>345</v>
      </c>
      <c r="I355" s="100" t="str">
        <f>'Active and Pre-IPO SPACs'!M356</f>
        <v>U: [1/4 W]; W: [1:1, $11.5]</v>
      </c>
    </row>
    <row r="356">
      <c r="A356" s="78" t="str">
        <f>'Active and Pre-IPO SPACs'!A357</f>
        <v>HCII</v>
      </c>
      <c r="B356" s="95" t="str">
        <f>'Active and Pre-IPO SPACs'!B357</f>
        <v>Hudson Executive Investment Corp. II</v>
      </c>
      <c r="C356" s="95" t="str">
        <f>'Active and Pre-IPO SPACs'!C357</f>
        <v>Searching</v>
      </c>
      <c r="D356" s="91" t="str">
        <f>'Active and Pre-IPO SPACs'!D357</f>
        <v>Technology-driven</v>
      </c>
      <c r="E356" s="96" t="str">
        <f>'Active and Pre-IPO SPACs'!E357</f>
        <v/>
      </c>
      <c r="F356" s="97" t="str">
        <f>'Active and Pre-IPO SPACs'!F357</f>
        <v>Douglas Bergeron (Co-founder CEO, HEIC I)</v>
      </c>
      <c r="G356" s="98">
        <f>'Active and Pre-IPO SPACs'!P357</f>
        <v>44222</v>
      </c>
      <c r="H356" s="99">
        <f>'Active and Pre-IPO SPACs'!Q357</f>
        <v>250</v>
      </c>
      <c r="I356" s="100" t="str">
        <f>'Active and Pre-IPO SPACs'!M357</f>
        <v>U: [1/4 W]; W: [1:1, $11.5]</v>
      </c>
    </row>
    <row r="357">
      <c r="A357" s="78" t="str">
        <f>'Active and Pre-IPO SPACs'!A358</f>
        <v>HCMA</v>
      </c>
      <c r="B357" s="95" t="str">
        <f>'Active and Pre-IPO SPACs'!B358</f>
        <v>HCM Acquisition Corp</v>
      </c>
      <c r="C357" s="95" t="str">
        <f>'Active and Pre-IPO SPACs'!C358</f>
        <v>Pre IPO</v>
      </c>
      <c r="D357" s="101" t="str">
        <f>'Active and Pre-IPO SPACs'!D358</f>
        <v>Fintech</v>
      </c>
      <c r="E357" s="96" t="str">
        <f>'Active and Pre-IPO SPACs'!E358</f>
        <v/>
      </c>
      <c r="F357" s="97" t="str">
        <f>'Active and Pre-IPO SPACs'!F358</f>
        <v>Shawn Matthews (Former CEO of Cantor Fitzgerald), James Bond (Former COO of Cantor Fitzgerald)</v>
      </c>
      <c r="G357" s="98" t="str">
        <f>'Active and Pre-IPO SPACs'!P358</f>
        <v/>
      </c>
      <c r="H357" s="99">
        <f>'Active and Pre-IPO SPACs'!Q358</f>
        <v>250</v>
      </c>
      <c r="I357" s="100" t="str">
        <f>'Active and Pre-IPO SPACs'!M358</f>
        <v>U: [1/2 W]; W: [1:1, $11.5]</v>
      </c>
    </row>
    <row r="358">
      <c r="A358" s="78" t="str">
        <f>'Active and Pre-IPO SPACs'!A359</f>
        <v>HCNE</v>
      </c>
      <c r="B358" s="95" t="str">
        <f>'Active and Pre-IPO SPACs'!B359</f>
        <v>Jaws Hurricane Acquisition Corp</v>
      </c>
      <c r="C358" s="95" t="str">
        <f>'Active and Pre-IPO SPACs'!C359</f>
        <v>Pre IPO</v>
      </c>
      <c r="D358" s="101" t="str">
        <f>'Active and Pre-IPO SPACs'!D359</f>
        <v>Consumer Tech</v>
      </c>
      <c r="E358" s="96" t="str">
        <f>'Active and Pre-IPO SPACs'!E359</f>
        <v/>
      </c>
      <c r="F358" s="97" t="str">
        <f>'Active and Pre-IPO SPACs'!F359</f>
        <v>Barry Sternlicht (Chairman and CEO of Starwood Capital)</v>
      </c>
      <c r="G358" s="98" t="str">
        <f>'Active and Pre-IPO SPACs'!P359</f>
        <v/>
      </c>
      <c r="H358" s="99">
        <f>'Active and Pre-IPO SPACs'!Q359</f>
        <v>250</v>
      </c>
      <c r="I358" s="100" t="str">
        <f>'Active and Pre-IPO SPACs'!M359</f>
        <v>U: [1/4 W]; W: [1:1, $11.5]</v>
      </c>
    </row>
    <row r="359">
      <c r="A359" s="78" t="str">
        <f>'Active and Pre-IPO SPACs'!A360</f>
        <v>HCVI</v>
      </c>
      <c r="B359" s="95" t="str">
        <f>'Active and Pre-IPO SPACs'!B360</f>
        <v>Hennessy Capital Investment Corp. VI</v>
      </c>
      <c r="C359" s="95" t="str">
        <f>'Active and Pre-IPO SPACs'!C360</f>
        <v>Pre IPO</v>
      </c>
      <c r="D359" s="101" t="str">
        <f>'Active and Pre-IPO SPACs'!D360</f>
        <v>Industrial Tech</v>
      </c>
      <c r="E359" s="96" t="str">
        <f>'Active and Pre-IPO SPACs'!E360</f>
        <v/>
      </c>
      <c r="F359" s="97" t="str">
        <f>'Active and Pre-IPO SPACs'!F360</f>
        <v>Daniel Hennessy (Managing Member of Hennessy Capital Group), Anna Brunelle (CFO of Ouster)</v>
      </c>
      <c r="G359" s="98" t="str">
        <f>'Active and Pre-IPO SPACs'!P360</f>
        <v/>
      </c>
      <c r="H359" s="99">
        <f>'Active and Pre-IPO SPACs'!Q360</f>
        <v>200</v>
      </c>
      <c r="I359" s="100" t="str">
        <f>'Active and Pre-IPO SPACs'!M360</f>
        <v>U: [1/5 W]; W: [1:1, $11.5]</v>
      </c>
    </row>
    <row r="360">
      <c r="A360" s="78" t="str">
        <f>'Active and Pre-IPO SPACs'!A361</f>
        <v>HCXX</v>
      </c>
      <c r="B360" s="95" t="str">
        <f>'Active and Pre-IPO SPACs'!B361</f>
        <v>Healthcare Merger Corp. II</v>
      </c>
      <c r="C360" s="95" t="str">
        <f>'Active and Pre-IPO SPACs'!C361</f>
        <v>Pre IPO</v>
      </c>
      <c r="D360" s="101" t="str">
        <f>'Active and Pre-IPO SPACs'!D361</f>
        <v>Healthcare</v>
      </c>
      <c r="E360" s="96" t="str">
        <f>'Active and Pre-IPO SPACs'!E361</f>
        <v/>
      </c>
      <c r="F360" s="97" t="str">
        <f>'Active and Pre-IPO SPACs'!F361</f>
        <v>Steven Shulman (Fmr CEO &amp; Chairman, Magellan; Director, SOC Telemed), William Sanger (Co-founder, BIDON Companies; Fmr Chairman, Envision Healthcare)</v>
      </c>
      <c r="G360" s="98" t="str">
        <f>'Active and Pre-IPO SPACs'!P361</f>
        <v/>
      </c>
      <c r="H360" s="99">
        <f>'Active and Pre-IPO SPACs'!Q361</f>
        <v>300</v>
      </c>
      <c r="I360" s="100" t="str">
        <f>'Active and Pre-IPO SPACs'!M361</f>
        <v>U: [1/3 W]; W: [1:1, $11.5]</v>
      </c>
    </row>
    <row r="361">
      <c r="A361" s="78" t="str">
        <f>'Active and Pre-IPO SPACs'!A362</f>
        <v>HEC</v>
      </c>
      <c r="B361" s="95" t="str">
        <f>'Active and Pre-IPO SPACs'!B362</f>
        <v>Hudson Executive Investment</v>
      </c>
      <c r="C361" s="95" t="str">
        <f>'Active and Pre-IPO SPACs'!C362</f>
        <v>Definitive Agreement</v>
      </c>
      <c r="D361" s="91" t="str">
        <f>'Active and Pre-IPO SPACs'!D362</f>
        <v>Fintech, Healthcare</v>
      </c>
      <c r="E361" s="96" t="str">
        <f>'Active and Pre-IPO SPACs'!E362</f>
        <v>Talkspace [DA: 01/13/21]</v>
      </c>
      <c r="F361" s="97" t="str">
        <f>'Active and Pre-IPO SPACs'!F362</f>
        <v/>
      </c>
      <c r="G361" s="98">
        <f>'Active and Pre-IPO SPACs'!P362</f>
        <v>43991</v>
      </c>
      <c r="H361" s="99">
        <f>'Active and Pre-IPO SPACs'!Q362</f>
        <v>414</v>
      </c>
      <c r="I361" s="100" t="str">
        <f>'Active and Pre-IPO SPACs'!M362</f>
        <v>U: [1/2 W]; W: [1:1, $11.5]</v>
      </c>
    </row>
    <row r="362">
      <c r="A362" s="78" t="str">
        <f>'Active and Pre-IPO SPACs'!A363</f>
        <v>HERA</v>
      </c>
      <c r="B362" s="95" t="str">
        <f>'Active and Pre-IPO SPACs'!B363</f>
        <v>FTAC Hera Acquisition Corp.</v>
      </c>
      <c r="C362" s="95" t="str">
        <f>'Active and Pre-IPO SPACs'!C363</f>
        <v>Searching (Pre Unit Split)</v>
      </c>
      <c r="D362" s="101" t="str">
        <f>'Active and Pre-IPO SPACs'!D363</f>
        <v>Tech, Fintech</v>
      </c>
      <c r="E362" s="96" t="str">
        <f>'Active and Pre-IPO SPACs'!E363</f>
        <v/>
      </c>
      <c r="F362" s="97" t="str">
        <f>'Active and Pre-IPO SPACs'!F363</f>
        <v>Betsy Cohen (Founder/Fmr CEO Bancorp; Director, FinTech Acquisition I, II, III)</v>
      </c>
      <c r="G362" s="98">
        <f>'Active and Pre-IPO SPACs'!P363</f>
        <v>44258</v>
      </c>
      <c r="H362" s="99">
        <f>'Active and Pre-IPO SPACs'!Q363</f>
        <v>851.4776</v>
      </c>
      <c r="I362" s="100" t="str">
        <f>'Active and Pre-IPO SPACs'!M363</f>
        <v>U: [1/4 W]; W: [1:1, $11.5]</v>
      </c>
    </row>
    <row r="363">
      <c r="A363" s="78" t="str">
        <f>'Active and Pre-IPO SPACs'!A364</f>
        <v>HHGC</v>
      </c>
      <c r="B363" s="95" t="str">
        <f>'Active and Pre-IPO SPACs'!B364</f>
        <v>HHG Capital Corp</v>
      </c>
      <c r="C363" s="95" t="str">
        <f>'Active and Pre-IPO SPACs'!C364</f>
        <v>Pre IPO</v>
      </c>
      <c r="D363" s="91" t="str">
        <f>'Active and Pre-IPO SPACs'!D364</f>
        <v/>
      </c>
      <c r="E363" s="96" t="str">
        <f>'Active and Pre-IPO SPACs'!E364</f>
        <v/>
      </c>
      <c r="F363" s="97" t="str">
        <f>'Active and Pre-IPO SPACs'!F364</f>
        <v/>
      </c>
      <c r="G363" s="98" t="str">
        <f>'Active and Pre-IPO SPACs'!P364</f>
        <v/>
      </c>
      <c r="H363" s="99">
        <f>'Active and Pre-IPO SPACs'!Q364</f>
        <v>50</v>
      </c>
      <c r="I363" s="100" t="str">
        <f>'Active and Pre-IPO SPACs'!M364</f>
        <v>U: [1 W]; W: [2:1, $11.5]</v>
      </c>
    </row>
    <row r="364">
      <c r="A364" s="78" t="str">
        <f>'Active and Pre-IPO SPACs'!A365</f>
        <v>HHLA</v>
      </c>
      <c r="B364" s="95" t="str">
        <f>'Active and Pre-IPO SPACs'!B365</f>
        <v>HH&amp;L Acquisition Co.
</v>
      </c>
      <c r="C364" s="95" t="str">
        <f>'Active and Pre-IPO SPACs'!C365</f>
        <v>Searching</v>
      </c>
      <c r="D364" s="91" t="str">
        <f>'Active and Pre-IPO SPACs'!D365</f>
        <v>Healthcare, Asia (Focus on China)</v>
      </c>
      <c r="E364" s="96" t="str">
        <f>'Active and Pre-IPO SPACs'!E365</f>
        <v/>
      </c>
      <c r="F364" s="97" t="str">
        <f>'Active and Pre-IPO SPACs'!F365</f>
        <v/>
      </c>
      <c r="G364" s="98">
        <f>'Active and Pre-IPO SPACs'!P365</f>
        <v>44232</v>
      </c>
      <c r="H364" s="99">
        <f>'Active and Pre-IPO SPACs'!Q365</f>
        <v>414</v>
      </c>
      <c r="I364" s="100" t="str">
        <f>'Active and Pre-IPO SPACs'!M365</f>
        <v>U: [1/2 W]; W: [1:1, $11.5]</v>
      </c>
    </row>
    <row r="365">
      <c r="A365" s="78" t="str">
        <f>'Active and Pre-IPO SPACs'!A366</f>
        <v>HIGA</v>
      </c>
      <c r="B365" s="95" t="str">
        <f>'Active and Pre-IPO SPACs'!B366</f>
        <v>H.I.G. Acquisition Corp.</v>
      </c>
      <c r="C365" s="95" t="str">
        <f>'Active and Pre-IPO SPACs'!C366</f>
        <v>Searching</v>
      </c>
      <c r="D365" s="91" t="str">
        <f>'Active and Pre-IPO SPACs'!D366</f>
        <v/>
      </c>
      <c r="E365" s="96" t="str">
        <f>'Active and Pre-IPO SPACs'!E366</f>
        <v/>
      </c>
      <c r="F365" s="97" t="str">
        <f>'Active and Pre-IPO SPACs'!F366</f>
        <v>Sidney Taurel (Fmr CEO, Eli Lily; Director, IBM), William Mitchell (Director, Veritiv &amp; Humana)</v>
      </c>
      <c r="G365" s="98">
        <f>'Active and Pre-IPO SPACs'!P366</f>
        <v>44124</v>
      </c>
      <c r="H365" s="99">
        <f>'Active and Pre-IPO SPACs'!Q366</f>
        <v>363.945</v>
      </c>
      <c r="I365" s="100" t="str">
        <f>'Active and Pre-IPO SPACs'!M366</f>
        <v>U: [1/3 W]; W: [1:1, $11.5]</v>
      </c>
    </row>
    <row r="366">
      <c r="A366" s="78" t="str">
        <f>'Active and Pre-IPO SPACs'!A367</f>
        <v>HIGB</v>
      </c>
      <c r="B366" s="95" t="str">
        <f>'Active and Pre-IPO SPACs'!B367</f>
        <v>H.I.G. Acquisition Corp. II</v>
      </c>
      <c r="C366" s="95" t="str">
        <f>'Active and Pre-IPO SPACs'!C367</f>
        <v>Pre IPO</v>
      </c>
      <c r="D366" s="91" t="str">
        <f>'Active and Pre-IPO SPACs'!D367</f>
        <v/>
      </c>
      <c r="E366" s="96" t="str">
        <f>'Active and Pre-IPO SPACs'!E367</f>
        <v/>
      </c>
      <c r="F366" s="97" t="str">
        <f>'Active and Pre-IPO SPACs'!F367</f>
        <v/>
      </c>
      <c r="G366" s="98" t="str">
        <f>'Active and Pre-IPO SPACs'!P367</f>
        <v/>
      </c>
      <c r="H366" s="99">
        <f>'Active and Pre-IPO SPACs'!Q367</f>
        <v>300</v>
      </c>
      <c r="I366" s="100" t="str">
        <f>'Active and Pre-IPO SPACs'!M367</f>
        <v>U: [1/4 W]; W: [1:1, $11.5]</v>
      </c>
    </row>
    <row r="367">
      <c r="A367" s="78" t="str">
        <f>'Active and Pre-IPO SPACs'!A368</f>
        <v>HIII</v>
      </c>
      <c r="B367" s="95" t="str">
        <f>'Active and Pre-IPO SPACs'!B368</f>
        <v>Hudson Executive Investment Corp. III</v>
      </c>
      <c r="C367" s="95" t="str">
        <f>'Active and Pre-IPO SPACs'!C368</f>
        <v>Searching (Pre Unit Split)</v>
      </c>
      <c r="D367" s="101" t="str">
        <f>'Active and Pre-IPO SPACs'!D368</f>
        <v>Tech</v>
      </c>
      <c r="E367" s="96" t="str">
        <f>'Active and Pre-IPO SPACs'!E368</f>
        <v/>
      </c>
      <c r="F367" s="97" t="str">
        <f>'Active and Pre-IPO SPACs'!F368</f>
        <v>
</v>
      </c>
      <c r="G367" s="98">
        <f>'Active and Pre-IPO SPACs'!P368</f>
        <v>44251</v>
      </c>
      <c r="H367" s="99">
        <f>'Active and Pre-IPO SPACs'!Q368</f>
        <v>600</v>
      </c>
      <c r="I367" s="100" t="str">
        <f>'Active and Pre-IPO SPACs'!M368</f>
        <v>U: [1/5 W]; W: [1:1, $11.5]</v>
      </c>
    </row>
    <row r="368">
      <c r="A368" s="78" t="str">
        <f>'Active and Pre-IPO SPACs'!A369</f>
        <v>HLAH</v>
      </c>
      <c r="B368" s="95" t="str">
        <f>'Active and Pre-IPO SPACs'!B369</f>
        <v>Hamilton Lane Alliance Holdings I, Inc.</v>
      </c>
      <c r="C368" s="95" t="str">
        <f>'Active and Pre-IPO SPACs'!C369</f>
        <v>Searching</v>
      </c>
      <c r="D368" s="91" t="str">
        <f>'Active and Pre-IPO SPACs'!D369</f>
        <v/>
      </c>
      <c r="E368" s="96" t="str">
        <f>'Active and Pre-IPO SPACs'!E369</f>
        <v/>
      </c>
      <c r="F368" s="97" t="str">
        <f>'Active and Pre-IPO SPACs'!F369</f>
        <v/>
      </c>
      <c r="G368" s="98">
        <f>'Active and Pre-IPO SPACs'!P369</f>
        <v>44208</v>
      </c>
      <c r="H368" s="99">
        <f>'Active and Pre-IPO SPACs'!Q369</f>
        <v>276</v>
      </c>
      <c r="I368" s="100" t="str">
        <f>'Active and Pre-IPO SPACs'!M369</f>
        <v>U: [1/3 W]; W: [1:1, $11.5]</v>
      </c>
    </row>
    <row r="369">
      <c r="A369" s="78" t="str">
        <f>'Active and Pre-IPO SPACs'!A370</f>
        <v>HLXA</v>
      </c>
      <c r="B369" s="95" t="str">
        <f>'Active and Pre-IPO SPACs'!B370</f>
        <v>Helix Acquisition Corp</v>
      </c>
      <c r="C369" s="95" t="str">
        <f>'Active and Pre-IPO SPACs'!C370</f>
        <v>Searching</v>
      </c>
      <c r="D369" s="101" t="str">
        <f>'Active and Pre-IPO SPACs'!D370</f>
        <v>Healthcare</v>
      </c>
      <c r="E369" s="96" t="str">
        <f>'Active and Pre-IPO SPACs'!E370</f>
        <v>  </v>
      </c>
      <c r="F369" s="97" t="str">
        <f>'Active and Pre-IPO SPACs'!F370</f>
        <v/>
      </c>
      <c r="G369" s="98">
        <f>'Active and Pre-IPO SPACs'!P370</f>
        <v>44123</v>
      </c>
      <c r="H369" s="99">
        <f>'Active and Pre-IPO SPACs'!Q370</f>
        <v>115</v>
      </c>
      <c r="I369" s="100" t="str">
        <f>'Active and Pre-IPO SPACs'!M370</f>
        <v>U: [No units]; W: [No warrants]</v>
      </c>
    </row>
    <row r="370">
      <c r="A370" s="78" t="str">
        <f>'Active and Pre-IPO SPACs'!A371</f>
        <v>HMCO</v>
      </c>
      <c r="B370" s="95" t="str">
        <f>'Active and Pre-IPO SPACs'!B371</f>
        <v>HumanCo Acquisition Corp.</v>
      </c>
      <c r="C370" s="95" t="str">
        <f>'Active and Pre-IPO SPACs'!C371</f>
        <v>Searching</v>
      </c>
      <c r="D370" s="91" t="str">
        <f>'Active and Pre-IPO SPACs'!D371</f>
        <v>Health and Wellness</v>
      </c>
      <c r="E370" s="96" t="str">
        <f>'Active and Pre-IPO SPACs'!E371</f>
        <v/>
      </c>
      <c r="F370" s="97" t="str">
        <f>'Active and Pre-IPO SPACs'!F371</f>
        <v>Kat Cole (COO, Focus Brands), Brian Kelly (Fmr CEO, Keurig Green Mountain)</v>
      </c>
      <c r="G370" s="98">
        <f>'Active and Pre-IPO SPACs'!P371</f>
        <v>44174</v>
      </c>
      <c r="H370" s="99">
        <f>'Active and Pre-IPO SPACs'!Q371</f>
        <v>312.5</v>
      </c>
      <c r="I370" s="100" t="str">
        <f>'Active and Pre-IPO SPACs'!M371</f>
        <v>U: [1/2 W]; W: [1:1, $11.5]</v>
      </c>
    </row>
    <row r="371">
      <c r="A371" s="78" t="str">
        <f>'Active and Pre-IPO SPACs'!A372</f>
        <v>HNRA</v>
      </c>
      <c r="B371" s="95" t="str">
        <f>'Active and Pre-IPO SPACs'!B372</f>
        <v>HNR Acquisition Corp.</v>
      </c>
      <c r="C371" s="95" t="str">
        <f>'Active and Pre-IPO SPACs'!C372</f>
        <v>Pre IPO</v>
      </c>
      <c r="D371" s="101" t="str">
        <f>'Active and Pre-IPO SPACs'!D372</f>
        <v>Natural Gas (North America)</v>
      </c>
      <c r="E371" s="96" t="str">
        <f>'Active and Pre-IPO SPACs'!E372</f>
        <v/>
      </c>
      <c r="F371" s="97" t="str">
        <f>'Active and Pre-IPO SPACs'!F372</f>
        <v/>
      </c>
      <c r="G371" s="98" t="str">
        <f>'Active and Pre-IPO SPACs'!P372</f>
        <v/>
      </c>
      <c r="H371" s="99">
        <f>'Active and Pre-IPO SPACs'!Q372</f>
        <v>100</v>
      </c>
      <c r="I371" s="100" t="str">
        <f>'Active and Pre-IPO SPACs'!M372</f>
        <v>U: [1 W, 1 R (1/10 sh)]; W: [2:1, $11.5]</v>
      </c>
    </row>
    <row r="372">
      <c r="A372" s="78" t="str">
        <f>'Active and Pre-IPO SPACs'!A373</f>
        <v>HOL</v>
      </c>
      <c r="B372" s="95" t="str">
        <f>'Active and Pre-IPO SPACs'!B373</f>
        <v>Holicity Inc.</v>
      </c>
      <c r="C372" s="95" t="str">
        <f>'Active and Pre-IPO SPACs'!C373</f>
        <v>Definitive Agreement</v>
      </c>
      <c r="D372" s="91" t="str">
        <f>'Active and Pre-IPO SPACs'!D373</f>
        <v>Tech, Media, Telecom</v>
      </c>
      <c r="E372" s="96" t="str">
        <f>'Active and Pre-IPO SPACs'!E373</f>
        <v>Astra [DA: 02/02/21]</v>
      </c>
      <c r="F372" s="97" t="str">
        <f>'Active and Pre-IPO SPACs'!F373</f>
        <v>Craig McCaw (Founder, McCaw Cellular and Clearwire Corp)</v>
      </c>
      <c r="G372" s="98">
        <f>'Active and Pre-IPO SPACs'!P373</f>
        <v>44048</v>
      </c>
      <c r="H372" s="99">
        <f>'Active and Pre-IPO SPACs'!Q373</f>
        <v>300</v>
      </c>
      <c r="I372" s="100" t="str">
        <f>'Active and Pre-IPO SPACs'!M373</f>
        <v>U: [1/3 W]; W: [1:1, $11.5]</v>
      </c>
    </row>
    <row r="373">
      <c r="A373" s="78" t="str">
        <f>'Active and Pre-IPO SPACs'!A374</f>
        <v>HPX</v>
      </c>
      <c r="B373" s="95" t="str">
        <f>'Active and Pre-IPO SPACs'!B374</f>
        <v>HPX Corp</v>
      </c>
      <c r="C373" s="95" t="str">
        <f>'Active and Pre-IPO SPACs'!C374</f>
        <v>Searching</v>
      </c>
      <c r="D373" s="91" t="str">
        <f>'Active and Pre-IPO SPACs'!D374</f>
        <v>Brazil</v>
      </c>
      <c r="E373" s="96" t="str">
        <f>'Active and Pre-IPO SPACs'!E374</f>
        <v/>
      </c>
      <c r="F373" s="97" t="str">
        <f>'Active and Pre-IPO SPACs'!F374</f>
        <v/>
      </c>
      <c r="G373" s="98">
        <f>'Active and Pre-IPO SPACs'!P374</f>
        <v>44028</v>
      </c>
      <c r="H373" s="99">
        <f>'Active and Pre-IPO SPACs'!Q374</f>
        <v>253</v>
      </c>
      <c r="I373" s="100" t="str">
        <f>'Active and Pre-IPO SPACs'!M374</f>
        <v>U: [1/2 W]; W: [1:1, $11.5]</v>
      </c>
    </row>
    <row r="374">
      <c r="A374" s="78" t="str">
        <f>'Active and Pre-IPO SPACs'!A375</f>
        <v>HSAQ</v>
      </c>
      <c r="B374" s="95" t="str">
        <f>'Active and Pre-IPO SPACs'!B375</f>
        <v>Health Sciences Acquisitions Corporation 2</v>
      </c>
      <c r="C374" s="95" t="str">
        <f>'Active and Pre-IPO SPACs'!C375</f>
        <v>Searching</v>
      </c>
      <c r="D374" s="91" t="str">
        <f>'Active and Pre-IPO SPACs'!D375</f>
        <v>Healthcare, Biopharma, Medical Tech</v>
      </c>
      <c r="E374" s="96" t="str">
        <f>'Active and Pre-IPO SPACs'!E375</f>
        <v/>
      </c>
      <c r="F374" s="97" t="str">
        <f>'Active and Pre-IPO SPACs'!F375</f>
        <v>RTW Investments</v>
      </c>
      <c r="G374" s="98">
        <f>'Active and Pre-IPO SPACs'!P375</f>
        <v>44047</v>
      </c>
      <c r="H374" s="99">
        <f>'Active and Pre-IPO SPACs'!Q375</f>
        <v>160</v>
      </c>
      <c r="I374" s="100" t="str">
        <f>'Active and Pre-IPO SPACs'!M375</f>
        <v>U: [No units]; W: [No warrants]</v>
      </c>
    </row>
    <row r="375">
      <c r="A375" s="78" t="str">
        <f>'Active and Pre-IPO SPACs'!A376</f>
        <v>HTAQ</v>
      </c>
      <c r="B375" s="95" t="str">
        <f>'Active and Pre-IPO SPACs'!B376</f>
        <v>Hunt Companies Acquisition Corp. I</v>
      </c>
      <c r="C375" s="95" t="str">
        <f>'Active and Pre-IPO SPACs'!C376</f>
        <v>Pre IPO</v>
      </c>
      <c r="D375" s="91" t="str">
        <f>'Active and Pre-IPO SPACs'!D376</f>
        <v>Renewable energy, infrastructure, or Real Asset services and technology</v>
      </c>
      <c r="E375" s="96" t="str">
        <f>'Active and Pre-IPO SPACs'!E376</f>
        <v/>
      </c>
      <c r="F375" s="97" t="str">
        <f>'Active and Pre-IPO SPACs'!F376</f>
        <v>Woody Hunt (Sr Chairman of Hunt Companies)</v>
      </c>
      <c r="G375" s="98" t="str">
        <f>'Active and Pre-IPO SPACs'!P376</f>
        <v/>
      </c>
      <c r="H375" s="99">
        <f>'Active and Pre-IPO SPACs'!Q376</f>
        <v>200</v>
      </c>
      <c r="I375" s="100" t="str">
        <f>'Active and Pre-IPO SPACs'!M376</f>
        <v>U: [1/2 W]; W: [1:1, $11.5]</v>
      </c>
    </row>
    <row r="376">
      <c r="A376" s="78" t="str">
        <f>'Active and Pre-IPO SPACs'!A377</f>
        <v>HTPA</v>
      </c>
      <c r="B376" s="95" t="str">
        <f>'Active and Pre-IPO SPACs'!B377</f>
        <v>Highland Transcend Partners I Corp.</v>
      </c>
      <c r="C376" s="95" t="str">
        <f>'Active and Pre-IPO SPACs'!C377</f>
        <v>Searching</v>
      </c>
      <c r="D376" s="91" t="str">
        <f>'Active and Pre-IPO SPACs'!D377</f>
        <v>E-commerce, Digital Media &amp; Services, Enterprise Software</v>
      </c>
      <c r="E376" s="96" t="str">
        <f>'Active and Pre-IPO SPACs'!E377</f>
        <v/>
      </c>
      <c r="F376" s="97" t="str">
        <f>'Active and Pre-IPO SPACs'!F377</f>
        <v>Highland Capital Partners</v>
      </c>
      <c r="G376" s="98">
        <f>'Active and Pre-IPO SPACs'!P377</f>
        <v>44168</v>
      </c>
      <c r="H376" s="99">
        <f>'Active and Pre-IPO SPACs'!Q377</f>
        <v>300</v>
      </c>
      <c r="I376" s="100" t="str">
        <f>'Active and Pre-IPO SPACs'!M377</f>
        <v>U: [1/3 W]; W: [1:1, $11.5]</v>
      </c>
    </row>
    <row r="377">
      <c r="A377" s="78" t="str">
        <f>'Active and Pre-IPO SPACs'!A378</f>
        <v>HUGS</v>
      </c>
      <c r="B377" s="95" t="str">
        <f>'Active and Pre-IPO SPACs'!B378</f>
        <v>USHG Acquisition Corp.</v>
      </c>
      <c r="C377" s="95" t="str">
        <f>'Active and Pre-IPO SPACs'!C378</f>
        <v>Searching (Pre Unit Split)</v>
      </c>
      <c r="D377" s="91" t="str">
        <f>'Active and Pre-IPO SPACs'!D378</f>
        <v>Tech, e-Commerce, Food/Beverage, Health, Retail, Consumer</v>
      </c>
      <c r="E377" s="96" t="str">
        <f>'Active and Pre-IPO SPACs'!E378</f>
        <v/>
      </c>
      <c r="F377" s="97" t="str">
        <f>'Active and Pre-IPO SPACs'!F378</f>
        <v>Danny Meyer (Founder/Chairman, Shake Shack; CEO, Union Square Hospitality Group), Randy Garutti (CEO, Shake Shack; Director, Square), Walter Robb (Fmr Co-CEO, Whole Foods), Robert Steel (Chairman/ Partner, Perella Weinberg Partners; Fmr CEO, Wachovia; Fmr Vice Chairman, Goldman Sachs; Fmr Deputy Mayor, Economic Development under Mayor Bloomberg)</v>
      </c>
      <c r="G377" s="98">
        <f>'Active and Pre-IPO SPACs'!P378</f>
        <v>44251</v>
      </c>
      <c r="H377" s="99">
        <f>'Active and Pre-IPO SPACs'!Q378</f>
        <v>287.5</v>
      </c>
      <c r="I377" s="100" t="str">
        <f>'Active and Pre-IPO SPACs'!M378</f>
        <v>U: [1/3 W]; W: [1:1, $11.5]</v>
      </c>
    </row>
    <row r="378">
      <c r="A378" s="78" t="str">
        <f>'Active and Pre-IPO SPACs'!A379</f>
        <v>HUMC</v>
      </c>
      <c r="B378" s="95" t="str">
        <f>'Active and Pre-IPO SPACs'!B379</f>
        <v>Anthropos Capital Corp</v>
      </c>
      <c r="C378" s="95" t="str">
        <f>'Active and Pre-IPO SPACs'!C379</f>
        <v>Pre IPO</v>
      </c>
      <c r="D378" s="101" t="str">
        <f>'Active and Pre-IPO SPACs'!D379</f>
        <v>Human Capital: incl. research &amp; advisory, facility services, marketing &amp; advertising</v>
      </c>
      <c r="E378" s="96" t="str">
        <f>'Active and Pre-IPO SPACs'!E379</f>
        <v/>
      </c>
      <c r="F378" s="97" t="str">
        <f>'Active and Pre-IPO SPACs'!F379</f>
        <v>John Megrue (Co-Chairman of Bridgewater Associates, Former Co-CEO of Apax Partners, and Vice-Chairman of Radical Ventures), Jeffery Boyd (Former CEO of Booking Holdings, Chairman of Oscar Health, Director of Booking Holdings and The Home Depot), Robert J. Mylod Jr. (Former CFO of Booking Holdings, Chairman of Booking Holdings &amp; Vroom, Director of Redfin, and Dropbox)</v>
      </c>
      <c r="G378" s="98" t="str">
        <f>'Active and Pre-IPO SPACs'!P379</f>
        <v/>
      </c>
      <c r="H378" s="99">
        <f>'Active and Pre-IPO SPACs'!Q379</f>
        <v>250</v>
      </c>
      <c r="I378" s="100" t="str">
        <f>'Active and Pre-IPO SPACs'!M379</f>
        <v>U: [1/3 W]; W: [1:1, $11.5]</v>
      </c>
    </row>
    <row r="379">
      <c r="A379" s="78" t="str">
        <f>'Active and Pre-IPO SPACs'!A380</f>
        <v>HWEL</v>
      </c>
      <c r="B379" s="95" t="str">
        <f>'Active and Pre-IPO SPACs'!B380</f>
        <v>Healthwell Acquisition Corp. I</v>
      </c>
      <c r="C379" s="95" t="str">
        <f>'Active and Pre-IPO SPACs'!C380</f>
        <v>Pre IPO</v>
      </c>
      <c r="D379" s="101" t="str">
        <f>'Active and Pre-IPO SPACs'!D380</f>
        <v>Healthcare Tech</v>
      </c>
      <c r="E379" s="96" t="str">
        <f>'Active and Pre-IPO SPACs'!E380</f>
        <v/>
      </c>
      <c r="F379" s="97" t="str">
        <f>'Active and Pre-IPO SPACs'!F380</f>
        <v/>
      </c>
      <c r="G379" s="98" t="str">
        <f>'Active and Pre-IPO SPACs'!P380</f>
        <v/>
      </c>
      <c r="H379" s="99">
        <f>'Active and Pre-IPO SPACs'!Q380</f>
        <v>250</v>
      </c>
      <c r="I379" s="100" t="str">
        <f>'Active and Pre-IPO SPACs'!M380</f>
        <v>U: [1/2 W]; W: [1:1, $11.5]</v>
      </c>
    </row>
    <row r="380">
      <c r="A380" s="78" t="str">
        <f>'Active and Pre-IPO SPACs'!A381</f>
        <v>HYAC</v>
      </c>
      <c r="B380" s="95" t="str">
        <f>'Active and Pre-IPO SPACs'!B381</f>
        <v>Haymaker Acquisition Corp. III</v>
      </c>
      <c r="C380" s="95" t="str">
        <f>'Active and Pre-IPO SPACs'!C381</f>
        <v>Searching (Pre Unit Split)</v>
      </c>
      <c r="D380" s="101" t="str">
        <f>'Active and Pre-IPO SPACs'!D381</f>
        <v>Consumer</v>
      </c>
      <c r="E380" s="96" t="str">
        <f>'Active and Pre-IPO SPACs'!E381</f>
        <v/>
      </c>
      <c r="F380" s="97" t="str">
        <f>'Active and Pre-IPO SPACs'!F381</f>
        <v>Steven Heyer (Former CEO of Starwood Hotels; Fmr COO, Coca-Cola Company)</v>
      </c>
      <c r="G380" s="98">
        <f>'Active and Pre-IPO SPACs'!P381</f>
        <v>44256</v>
      </c>
      <c r="H380" s="99">
        <f>'Active and Pre-IPO SPACs'!Q381</f>
        <v>300</v>
      </c>
      <c r="I380" s="100" t="str">
        <f>'Active and Pre-IPO SPACs'!M381</f>
        <v>U: [1/4 W]; W: [1:1, $11.5]</v>
      </c>
    </row>
    <row r="381">
      <c r="A381" s="78" t="str">
        <f>'Active and Pre-IPO SPACs'!A382</f>
        <v>HZAC</v>
      </c>
      <c r="B381" s="95" t="str">
        <f>'Active and Pre-IPO SPACs'!B382</f>
        <v>Horizon Acquisition Corp</v>
      </c>
      <c r="C381" s="95" t="str">
        <f>'Active and Pre-IPO SPACs'!C382</f>
        <v>Searching</v>
      </c>
      <c r="D381" s="101" t="str">
        <f>'Active and Pre-IPO SPACs'!D382</f>
        <v>Financial Services, Fintech, Insurance Tech</v>
      </c>
      <c r="E381" s="96" t="str">
        <f>'Active and Pre-IPO SPACs'!E382</f>
        <v>[In talks (unconfirmed) with Vivid Seats: Per Bloomberg 3/18/21]</v>
      </c>
      <c r="F381" s="97" t="str">
        <f>'Active and Pre-IPO SPACs'!F382</f>
        <v>Todd Boehly (Founder/CEO, Elridge), Haroon Mokhtarzada (Founder/CEO of Truebill), Safwan Shah (Founder/CEO of PayActiv)</v>
      </c>
      <c r="G381" s="98">
        <f>'Active and Pre-IPO SPACs'!P382</f>
        <v>44063</v>
      </c>
      <c r="H381" s="99">
        <f>'Active and Pre-IPO SPACs'!Q382</f>
        <v>543.98433</v>
      </c>
      <c r="I381" s="100" t="str">
        <f>'Active and Pre-IPO SPACs'!M382</f>
        <v>U: [1/3 W]; W: [1:1, $11.5]</v>
      </c>
    </row>
    <row r="382">
      <c r="A382" s="78" t="str">
        <f>'Active and Pre-IPO SPACs'!A383</f>
        <v>HZNA</v>
      </c>
      <c r="B382" s="95" t="str">
        <f>'Active and Pre-IPO SPACs'!B383</f>
        <v>Horizon Acquisition Corporation III</v>
      </c>
      <c r="C382" s="95" t="str">
        <f>'Active and Pre-IPO SPACs'!C383</f>
        <v>Pre IPO</v>
      </c>
      <c r="D382" s="91" t="str">
        <f>'Active and Pre-IPO SPACs'!D383</f>
        <v/>
      </c>
      <c r="E382" s="96" t="str">
        <f>'Active and Pre-IPO SPACs'!E383</f>
        <v/>
      </c>
      <c r="F382" s="97" t="str">
        <f>'Active and Pre-IPO SPACs'!F383</f>
        <v>Todd Boehly (Founder/CEO, Elridge), Haroon Mokhtarzada (Founder/CEO of Truebill)</v>
      </c>
      <c r="G382" s="98" t="str">
        <f>'Active and Pre-IPO SPACs'!P383</f>
        <v/>
      </c>
      <c r="H382" s="99">
        <f>'Active and Pre-IPO SPACs'!Q383</f>
        <v>500</v>
      </c>
      <c r="I382" s="100" t="str">
        <f>'Active and Pre-IPO SPACs'!M383</f>
        <v>U: [1/4 W]; W: [1:1, $11.5]</v>
      </c>
    </row>
    <row r="383">
      <c r="A383" s="78" t="str">
        <f>'Active and Pre-IPO SPACs'!A384</f>
        <v>HZON</v>
      </c>
      <c r="B383" s="95" t="str">
        <f>'Active and Pre-IPO SPACs'!B384</f>
        <v>Horizon Acquisition Corp II</v>
      </c>
      <c r="C383" s="95" t="str">
        <f>'Active and Pre-IPO SPACs'!C384</f>
        <v>Searching</v>
      </c>
      <c r="D383" s="101" t="str">
        <f>'Active and Pre-IPO SPACs'!D384</f>
        <v>Media, Entertainment</v>
      </c>
      <c r="E383" s="96" t="str">
        <f>'Active and Pre-IPO SPACs'!E384</f>
        <v>[In talks (unconfirmed) with Sportradar: Per Bloomberg 3/2/21]</v>
      </c>
      <c r="F383" s="97" t="str">
        <f>'Active and Pre-IPO SPACs'!F384</f>
        <v>Todd Boehly (Founder/CEO, Elridge), Jason Robbins (Co-founder/CEO, DraftKings)</v>
      </c>
      <c r="G383" s="98">
        <f>'Active and Pre-IPO SPACs'!P384</f>
        <v>44123</v>
      </c>
      <c r="H383" s="99">
        <f>'Active and Pre-IPO SPACs'!Q384</f>
        <v>525</v>
      </c>
      <c r="I383" s="100" t="str">
        <f>'Active and Pre-IPO SPACs'!M384</f>
        <v>U: [1/3 W]; W: [1:1, $11.5]</v>
      </c>
    </row>
    <row r="384">
      <c r="A384" s="78" t="str">
        <f>'Active and Pre-IPO SPACs'!A385</f>
        <v>IACA</v>
      </c>
      <c r="B384" s="95" t="str">
        <f>'Active and Pre-IPO SPACs'!B385</f>
        <v>ION Acquisition Corp 1 Ltd.</v>
      </c>
      <c r="C384" s="95" t="str">
        <f>'Active and Pre-IPO SPACs'!C385</f>
        <v>Definitive Agreement</v>
      </c>
      <c r="D384" s="101" t="str">
        <f>'Active and Pre-IPO SPACs'!D385</f>
        <v>Israel, Tech</v>
      </c>
      <c r="E384" s="96" t="str">
        <f>'Active and Pre-IPO SPACs'!E385</f>
        <v>Taboola [DA: 01/25/21]</v>
      </c>
      <c r="F384" s="97" t="str">
        <f>'Active and Pre-IPO SPACs'!F385</f>
        <v>Jonathan Kolber (Fmr CEO, Koor Industries; Director, Fiverr)</v>
      </c>
      <c r="G384" s="98">
        <f>'Active and Pre-IPO SPACs'!P385</f>
        <v>44105</v>
      </c>
      <c r="H384" s="99">
        <f>'Active and Pre-IPO SPACs'!Q385</f>
        <v>258.75</v>
      </c>
      <c r="I384" s="100" t="str">
        <f>'Active and Pre-IPO SPACs'!M385</f>
        <v>U: [1/5 W]; W: [1:1, $11.5]</v>
      </c>
    </row>
    <row r="385">
      <c r="A385" s="78" t="str">
        <f>'Active and Pre-IPO SPACs'!A386</f>
        <v>IACB</v>
      </c>
      <c r="B385" s="95" t="str">
        <f>'Active and Pre-IPO SPACs'!B386</f>
        <v>ION Acquisition Corp 2 Ltd.</v>
      </c>
      <c r="C385" s="95" t="str">
        <f>'Active and Pre-IPO SPACs'!C386</f>
        <v>Searching</v>
      </c>
      <c r="D385" s="101" t="str">
        <f>'Active and Pre-IPO SPACs'!D386</f>
        <v>Israel, Tech</v>
      </c>
      <c r="E385" s="96" t="str">
        <f>'Active and Pre-IPO SPACs'!E386</f>
        <v/>
      </c>
      <c r="F385" s="97" t="str">
        <f>'Active and Pre-IPO SPACs'!F386</f>
        <v>Jonathan Kolber (Fmr CEO, Koor Industries; Director, Fiverr)</v>
      </c>
      <c r="G385" s="98">
        <f>'Active and Pre-IPO SPACs'!P386</f>
        <v>44237</v>
      </c>
      <c r="H385" s="99">
        <f>'Active and Pre-IPO SPACs'!Q386</f>
        <v>253</v>
      </c>
      <c r="I385" s="100" t="str">
        <f>'Active and Pre-IPO SPACs'!M386</f>
        <v>U: [1/8 W]; W: [1:1, $11.5]</v>
      </c>
    </row>
    <row r="386">
      <c r="A386" s="78" t="str">
        <f>'Active and Pre-IPO SPACs'!A387</f>
        <v>IACC</v>
      </c>
      <c r="B386" s="95" t="str">
        <f>'Active and Pre-IPO SPACs'!B387</f>
        <v>ION Acquisition Corp 3 Ltd.</v>
      </c>
      <c r="C386" s="95" t="str">
        <f>'Active and Pre-IPO SPACs'!C387</f>
        <v>Pre IPO</v>
      </c>
      <c r="D386" s="101" t="str">
        <f>'Active and Pre-IPO SPACs'!D387</f>
        <v>Israel, Tech</v>
      </c>
      <c r="E386" s="96" t="str">
        <f>'Active and Pre-IPO SPACs'!E387</f>
        <v/>
      </c>
      <c r="F386" s="97" t="str">
        <f>'Active and Pre-IPO SPACs'!F387</f>
        <v>Jonathan Kolber (Partner of Viola Growth and Chairman of ION Asset Management)</v>
      </c>
      <c r="G386" s="98" t="str">
        <f>'Active and Pre-IPO SPACs'!P387</f>
        <v/>
      </c>
      <c r="H386" s="99">
        <f>'Active and Pre-IPO SPACs'!Q387</f>
        <v>250</v>
      </c>
      <c r="I386" s="100" t="str">
        <f>'Active and Pre-IPO SPACs'!M387</f>
        <v>U: [1/8 W]; W: [1:1, $11.5]</v>
      </c>
    </row>
    <row r="387">
      <c r="A387" s="78" t="str">
        <f>'Active and Pre-IPO SPACs'!A388</f>
        <v>IBER</v>
      </c>
      <c r="B387" s="95" t="str">
        <f>'Active and Pre-IPO SPACs'!B388</f>
        <v>Ibere Pharmaceuticals</v>
      </c>
      <c r="C387" s="95" t="str">
        <f>'Active and Pre-IPO SPACs'!C388</f>
        <v>Searching (Pre Unit Split)</v>
      </c>
      <c r="D387" s="91" t="str">
        <f>'Active and Pre-IPO SPACs'!D388</f>
        <v>Pharmaceuticals, Life Sciences, Healthcare</v>
      </c>
      <c r="E387" s="96" t="str">
        <f>'Active and Pre-IPO SPACs'!E388</f>
        <v/>
      </c>
      <c r="F387" s="97" t="str">
        <f>'Active and Pre-IPO SPACs'!F388</f>
        <v/>
      </c>
      <c r="G387" s="98">
        <f>'Active and Pre-IPO SPACs'!P388</f>
        <v>44253</v>
      </c>
      <c r="H387" s="99">
        <f>'Active and Pre-IPO SPACs'!Q388</f>
        <v>138</v>
      </c>
      <c r="I387" s="100" t="str">
        <f>'Active and Pre-IPO SPACs'!M388</f>
        <v>U: [1/2 W]; W: [1:1, $11.5]</v>
      </c>
    </row>
    <row r="388">
      <c r="A388" s="78" t="str">
        <f>'Active and Pre-IPO SPACs'!A389</f>
        <v>ICGA</v>
      </c>
      <c r="B388" s="95" t="str">
        <f>'Active and Pre-IPO SPACs'!B389</f>
        <v>ICG Hypersonic Acquisition Corp.</v>
      </c>
      <c r="C388" s="95" t="str">
        <f>'Active and Pre-IPO SPACs'!C389</f>
        <v>Pre IPO</v>
      </c>
      <c r="D388" s="101" t="str">
        <f>'Active and Pre-IPO SPACs'!D389</f>
        <v>Proptech</v>
      </c>
      <c r="E388" s="96" t="str">
        <f>'Active and Pre-IPO SPACs'!E389</f>
        <v/>
      </c>
      <c r="F388" s="97" t="str">
        <f>'Active and Pre-IPO SPACs'!F389</f>
        <v>Jeff Blau (CEO, The Related Companies; Director, Equinox Holdings &amp; Wharton Graduate School), William Lauder (Exec Chairman/Fmr CEO, Estée Lauder Companies; Director, Jarden), Peter Levine (GP, Andreessen Horowitz), Andrea Olshan (Fmr CEO, Olshan Properties), Henry Silverman (Fmr Chairman/CEO, Cendant; Fmr COO/Vice Chairman, Apollo)</v>
      </c>
      <c r="G388" s="98" t="str">
        <f>'Active and Pre-IPO SPACs'!P389</f>
        <v/>
      </c>
      <c r="H388" s="99">
        <f>'Active and Pre-IPO SPACs'!Q389</f>
        <v>250</v>
      </c>
      <c r="I388" s="100" t="str">
        <f>'Active and Pre-IPO SPACs'!M389</f>
        <v>U: [1/3 W]; W: [1:1, $11.5]</v>
      </c>
    </row>
    <row r="389">
      <c r="A389" s="78" t="str">
        <f>'Active and Pre-IPO SPACs'!A390</f>
        <v>IGAC</v>
      </c>
      <c r="B389" s="95" t="str">
        <f>'Active and Pre-IPO SPACs'!B390</f>
        <v>IG Acquisition Corp.</v>
      </c>
      <c r="C389" s="95" t="str">
        <f>'Active and Pre-IPO SPACs'!C390</f>
        <v>Searching</v>
      </c>
      <c r="D389" s="101" t="str">
        <f>'Active and Pre-IPO SPACs'!D390</f>
        <v>Leisure, Gaming and Hospitality</v>
      </c>
      <c r="E389" s="96" t="str">
        <f>'Active and Pre-IPO SPACs'!E390</f>
        <v/>
      </c>
      <c r="F389" s="97" t="str">
        <f>'Active and Pre-IPO SPACs'!F390</f>
        <v>Bradley Tusk (Co-founder Tusk Ventures; Co-founder/Chairman, Ivory Gaming Group)</v>
      </c>
      <c r="G389" s="98">
        <f>'Active and Pre-IPO SPACs'!P390</f>
        <v>44104</v>
      </c>
      <c r="H389" s="99">
        <f>'Active and Pre-IPO SPACs'!Q390</f>
        <v>300</v>
      </c>
      <c r="I389" s="100" t="str">
        <f>'Active and Pre-IPO SPACs'!M390</f>
        <v>U: [1/2 W]; W: [1:1, $11.5]</v>
      </c>
    </row>
    <row r="390">
      <c r="A390" s="78" t="str">
        <f>'Active and Pre-IPO SPACs'!A391</f>
        <v>IGNY</v>
      </c>
      <c r="B390" s="95" t="str">
        <f>'Active and Pre-IPO SPACs'!B391</f>
        <v>Ignyte Acquisition Corp.</v>
      </c>
      <c r="C390" s="95" t="str">
        <f>'Active and Pre-IPO SPACs'!C391</f>
        <v>Searching</v>
      </c>
      <c r="D390" s="91" t="str">
        <f>'Active and Pre-IPO SPACs'!D391</f>
        <v>Life Sciences, Biotech, Healthcare</v>
      </c>
      <c r="E390" s="96" t="str">
        <f>'Active and Pre-IPO SPACs'!E391</f>
        <v/>
      </c>
      <c r="F390" s="97" t="str">
        <f>'Active and Pre-IPO SPACs'!F391</f>
        <v>David Rosenberg (Co-CEO, Ladenburg Thalmann)</v>
      </c>
      <c r="G390" s="98">
        <f>'Active and Pre-IPO SPACs'!P391</f>
        <v>44223</v>
      </c>
      <c r="H390" s="99">
        <f>'Active and Pre-IPO SPACs'!Q391</f>
        <v>57.5</v>
      </c>
      <c r="I390" s="100" t="str">
        <f>'Active and Pre-IPO SPACs'!M391</f>
        <v>U: [1/2 W]; W: [1:1, $11.5]</v>
      </c>
    </row>
    <row r="391">
      <c r="A391" s="78" t="str">
        <f>'Active and Pre-IPO SPACs'!A392</f>
        <v>IIAC</v>
      </c>
      <c r="B391" s="95" t="str">
        <f>'Active and Pre-IPO SPACs'!B392</f>
        <v>Investindustrial Acquisition Corp.</v>
      </c>
      <c r="C391" s="95" t="str">
        <f>'Active and Pre-IPO SPACs'!C392</f>
        <v>Searching</v>
      </c>
      <c r="D391" s="91" t="str">
        <f>'Active and Pre-IPO SPACs'!D392</f>
        <v/>
      </c>
      <c r="E391" s="96" t="str">
        <f>'Active and Pre-IPO SPACs'!E392</f>
        <v/>
      </c>
      <c r="F391" s="97" t="str">
        <f>'Active and Pre-IPO SPACs'!F392</f>
        <v/>
      </c>
      <c r="G391" s="98">
        <f>'Active and Pre-IPO SPACs'!P392</f>
        <v>44153</v>
      </c>
      <c r="H391" s="99">
        <f>'Active and Pre-IPO SPACs'!Q392</f>
        <v>402.5</v>
      </c>
      <c r="I391" s="100" t="str">
        <f>'Active and Pre-IPO SPACs'!M392</f>
        <v>U: [1/3 W]; W: [1:1, $11.5]</v>
      </c>
    </row>
    <row r="392">
      <c r="A392" s="78" t="str">
        <f>'Active and Pre-IPO SPACs'!A393</f>
        <v>IIII</v>
      </c>
      <c r="B392" s="95" t="str">
        <f>'Active and Pre-IPO SPACs'!B393</f>
        <v>INSU Acquisition Corp. III</v>
      </c>
      <c r="C392" s="95" t="str">
        <f>'Active and Pre-IPO SPACs'!C393</f>
        <v>Searching</v>
      </c>
      <c r="D392" s="91" t="str">
        <f>'Active and Pre-IPO SPACs'!D393</f>
        <v>Insurance, InsureTech</v>
      </c>
      <c r="E392" s="96" t="str">
        <f>'Active and Pre-IPO SPACs'!E393</f>
        <v/>
      </c>
      <c r="F392" s="97" t="str">
        <f>'Active and Pre-IPO SPACs'!F393</f>
        <v>Cohen &amp; Company </v>
      </c>
      <c r="G392" s="98">
        <f>'Active and Pre-IPO SPACs'!P393</f>
        <v>44182</v>
      </c>
      <c r="H392" s="99">
        <f>'Active and Pre-IPO SPACs'!Q393</f>
        <v>250</v>
      </c>
      <c r="I392" s="100" t="str">
        <f>'Active and Pre-IPO SPACs'!M393</f>
        <v>U: [1/3 W]; W: [1:1, $11.5]</v>
      </c>
    </row>
    <row r="393">
      <c r="A393" s="78" t="str">
        <f>'Active and Pre-IPO SPACs'!A394</f>
        <v>ILAC</v>
      </c>
      <c r="B393" s="95" t="str">
        <f>'Active and Pre-IPO SPACs'!B394</f>
        <v>Innovatus Life Sciences Acquisition Corp.</v>
      </c>
      <c r="C393" s="95" t="str">
        <f>'Active and Pre-IPO SPACs'!C394</f>
        <v>Pre IPO</v>
      </c>
      <c r="D393" s="101" t="str">
        <f>'Active and Pre-IPO SPACs'!D394</f>
        <v>Life Sciences, Healthcare</v>
      </c>
      <c r="E393" s="96" t="str">
        <f>'Active and Pre-IPO SPACs'!E394</f>
        <v/>
      </c>
      <c r="F393" s="97" t="str">
        <f>'Active and Pre-IPO SPACs'!F394</f>
        <v/>
      </c>
      <c r="G393" s="98" t="str">
        <f>'Active and Pre-IPO SPACs'!P394</f>
        <v/>
      </c>
      <c r="H393" s="99">
        <f>'Active and Pre-IPO SPACs'!Q394</f>
        <v>175</v>
      </c>
      <c r="I393" s="100" t="str">
        <f>'Active and Pre-IPO SPACs'!M394</f>
        <v>U: [No Units]; W: [No Warrants]</v>
      </c>
    </row>
    <row r="394">
      <c r="A394" s="78" t="str">
        <f>'Active and Pre-IPO SPACs'!A395</f>
        <v>IMAQ</v>
      </c>
      <c r="B394" s="95" t="str">
        <f>'Active and Pre-IPO SPACs'!B395</f>
        <v>International Media Acquisition Corp.</v>
      </c>
      <c r="C394" s="95" t="str">
        <f>'Active and Pre-IPO SPACs'!C395</f>
        <v>Pre IPO</v>
      </c>
      <c r="D394" s="101" t="str">
        <f>'Active and Pre-IPO SPACs'!D395</f>
        <v>Media and Entertainment</v>
      </c>
      <c r="E394" s="96" t="str">
        <f>'Active and Pre-IPO SPACs'!E395</f>
        <v/>
      </c>
      <c r="F394" s="97" t="str">
        <f>'Active and Pre-IPO SPACs'!F395</f>
        <v>Greg Silverman (Founder &amp; CEO of Stampede Ventures)</v>
      </c>
      <c r="G394" s="98" t="str">
        <f>'Active and Pre-IPO SPACs'!P395</f>
        <v/>
      </c>
      <c r="H394" s="99">
        <f>'Active and Pre-IPO SPACs'!Q395</f>
        <v>200</v>
      </c>
      <c r="I394" s="100" t="str">
        <f>'Active and Pre-IPO SPACs'!M395</f>
        <v>U: [1/3 W]; W: [1:1, $11.5]</v>
      </c>
    </row>
    <row r="395">
      <c r="A395" s="78" t="str">
        <f>'Active and Pre-IPO SPACs'!A396</f>
        <v>IMPX</v>
      </c>
      <c r="B395" s="95" t="str">
        <f>'Active and Pre-IPO SPACs'!B396</f>
        <v>AEA-Bridges Impact Corp.</v>
      </c>
      <c r="C395" s="95" t="str">
        <f>'Active and Pre-IPO SPACs'!C396</f>
        <v>Searching</v>
      </c>
      <c r="D395" s="101" t="str">
        <f>'Active and Pre-IPO SPACs'!D396</f>
        <v>value-added industrials, including sustainable energy and energy efficiency, education, circular economy, consumer, healthcare, and business services</v>
      </c>
      <c r="E395" s="96" t="str">
        <f>'Active and Pre-IPO SPACs'!E396</f>
        <v/>
      </c>
      <c r="F395" s="97" t="str">
        <f>'Active and Pre-IPO SPACs'!F396</f>
        <v/>
      </c>
      <c r="G395" s="98">
        <f>'Active and Pre-IPO SPACs'!P396</f>
        <v>44105</v>
      </c>
      <c r="H395" s="99">
        <f>'Active and Pre-IPO SPACs'!Q396</f>
        <v>400</v>
      </c>
      <c r="I395" s="100" t="str">
        <f>'Active and Pre-IPO SPACs'!M396</f>
        <v>U: [1/2 W]; W: [1:1, $11.5]</v>
      </c>
    </row>
    <row r="396">
      <c r="A396" s="78" t="str">
        <f>'Active and Pre-IPO SPACs'!A397</f>
        <v>INKA</v>
      </c>
      <c r="B396" s="95" t="str">
        <f>'Active and Pre-IPO SPACs'!B397</f>
        <v>KludeIn I Acquisition Corp.</v>
      </c>
      <c r="C396" s="95" t="str">
        <f>'Active and Pre-IPO SPACs'!C397</f>
        <v>Searching</v>
      </c>
      <c r="D396" s="91" t="str">
        <f>'Active and Pre-IPO SPACs'!D397</f>
        <v>Software, Tech-enabled</v>
      </c>
      <c r="E396" s="96" t="str">
        <f>'Active and Pre-IPO SPACs'!E397</f>
        <v/>
      </c>
      <c r="F396" s="97" t="str">
        <f>'Active and Pre-IPO SPACs'!F397</f>
        <v/>
      </c>
      <c r="G396" s="98">
        <f>'Active and Pre-IPO SPACs'!P397</f>
        <v>44202</v>
      </c>
      <c r="H396" s="99">
        <f>'Active and Pre-IPO SPACs'!Q397</f>
        <v>172.5</v>
      </c>
      <c r="I396" s="100" t="str">
        <f>'Active and Pre-IPO SPACs'!M397</f>
        <v>U: [1/2 W]; W: [1:1, $11.5]</v>
      </c>
    </row>
    <row r="397">
      <c r="A397" s="78" t="str">
        <f>'Active and Pre-IPO SPACs'!A398</f>
        <v>IPAX</v>
      </c>
      <c r="B397" s="95" t="str">
        <f>'Active and Pre-IPO SPACs'!B398</f>
        <v>Inflection Point Acquisition Corp.</v>
      </c>
      <c r="C397" s="95" t="str">
        <f>'Active and Pre-IPO SPACs'!C398</f>
        <v>Pre IPO</v>
      </c>
      <c r="D397" s="101" t="str">
        <f>'Active and Pre-IPO SPACs'!D398</f>
        <v>Consumer, Tech</v>
      </c>
      <c r="E397" s="96" t="str">
        <f>'Active and Pre-IPO SPACs'!E398</f>
        <v/>
      </c>
      <c r="F397" s="97" t="str">
        <f>'Active and Pre-IPO SPACs'!F398</f>
        <v>Paula Sutter (Director of ThredUp)</v>
      </c>
      <c r="G397" s="98" t="str">
        <f>'Active and Pre-IPO SPACs'!P398</f>
        <v/>
      </c>
      <c r="H397" s="99">
        <f>'Active and Pre-IPO SPACs'!Q398</f>
        <v>300</v>
      </c>
      <c r="I397" s="100" t="str">
        <f>'Active and Pre-IPO SPACs'!M398</f>
        <v>U: [1/3 W]; W: [1:1, $11.5]</v>
      </c>
    </row>
    <row r="398">
      <c r="A398" s="78" t="str">
        <f>'Active and Pre-IPO SPACs'!A399</f>
        <v>IPOD</v>
      </c>
      <c r="B398" s="95" t="str">
        <f>'Active and Pre-IPO SPACs'!B399</f>
        <v>Social Capital Hedosophia Holdings Corp. IV</v>
      </c>
      <c r="C398" s="95" t="str">
        <f>'Active and Pre-IPO SPACs'!C399</f>
        <v>Searching</v>
      </c>
      <c r="D398" s="91" t="str">
        <f>'Active and Pre-IPO SPACs'!D399</f>
        <v>Tech</v>
      </c>
      <c r="E398" s="96" t="str">
        <f>'Active and Pre-IPO SPACs'!E399</f>
        <v/>
      </c>
      <c r="F398" s="97" t="str">
        <f>'Active and Pre-IPO SPACs'!F399</f>
        <v>Chamath Palihapitiya (Managing Partner, Social Capital), Ian Osborne (Co-founder/CEO, Hedosophia), Nirav Tolia (Co-founder/Fmr CEO 
Nextdoor), Joanne Bradford (President, Honey; Former COO, SoFi; Fmr CRO, Microsoft), Katie Stanton (Founder, Moxxie Ventures; Fmr VP Global Media, Twitter)</v>
      </c>
      <c r="G398" s="98">
        <f>'Active and Pre-IPO SPACs'!P399</f>
        <v>44112</v>
      </c>
      <c r="H398" s="99">
        <f>'Active and Pre-IPO SPACs'!Q399</f>
        <v>460</v>
      </c>
      <c r="I398" s="100" t="str">
        <f>'Active and Pre-IPO SPACs'!M399</f>
        <v>U: [1/4 W]; W: [1:1, $11.5]</v>
      </c>
    </row>
    <row r="399">
      <c r="A399" s="78" t="str">
        <f>'Active and Pre-IPO SPACs'!A400</f>
        <v>IPOE</v>
      </c>
      <c r="B399" s="95" t="str">
        <f>'Active and Pre-IPO SPACs'!B400</f>
        <v>Social Capital Hedosophia Holdings Corp. V</v>
      </c>
      <c r="C399" s="95" t="str">
        <f>'Active and Pre-IPO SPACs'!C400</f>
        <v>Definitive Agreement</v>
      </c>
      <c r="D399" s="91" t="str">
        <f>'Active and Pre-IPO SPACs'!D400</f>
        <v>Tech</v>
      </c>
      <c r="E399" s="96" t="str">
        <f>'Active and Pre-IPO SPACs'!E400</f>
        <v>SoFi [DA: 01/07/21]</v>
      </c>
      <c r="F399" s="102" t="str">
        <f>'Active and Pre-IPO SPACs'!F400</f>
        <v>Chamath Palihapitiya (Managing Partner, Social Capital), Ian Osborne (Co-founder/CEO, Hedosophia), Jay Parikh (Head of Engineering, Facebook), Jennifer Dulski (Fmr Pres/COO, Change.org)</v>
      </c>
      <c r="G399" s="98">
        <f>'Active and Pre-IPO SPACs'!P400</f>
        <v>44112</v>
      </c>
      <c r="H399" s="99">
        <f>'Active and Pre-IPO SPACs'!Q400</f>
        <v>805</v>
      </c>
      <c r="I399" s="100" t="str">
        <f>'Active and Pre-IPO SPACs'!M400</f>
        <v>U: [1/4 W]; W: [1:1, $11.5]</v>
      </c>
    </row>
    <row r="400">
      <c r="A400" s="78" t="str">
        <f>'Active and Pre-IPO SPACs'!A401</f>
        <v>IPOF</v>
      </c>
      <c r="B400" s="95" t="str">
        <f>'Active and Pre-IPO SPACs'!B401</f>
        <v>Social Capital Hedosophia Holdings Corp. VI</v>
      </c>
      <c r="C400" s="95" t="str">
        <f>'Active and Pre-IPO SPACs'!C401</f>
        <v>Searching</v>
      </c>
      <c r="D400" s="91" t="str">
        <f>'Active and Pre-IPO SPACs'!D401</f>
        <v>Tech</v>
      </c>
      <c r="E400" s="96" t="str">
        <f>'Active and Pre-IPO SPACs'!E401</f>
        <v/>
      </c>
      <c r="F400" s="97" t="str">
        <f>'Active and Pre-IPO SPACs'!F401</f>
        <v>Chamath Palihapitiya (Managing Partner, Social Capital), Ian Osborne (Co-founder/CEO, Hedosophia), Richard Costolo (Fmr CEO, Twitter), Sarah Leary (Co-founder, Nextdoor; Venture Partner, Unusual Ventures)</v>
      </c>
      <c r="G400" s="98">
        <f>'Active and Pre-IPO SPACs'!P401</f>
        <v>44112</v>
      </c>
      <c r="H400" s="99">
        <f>'Active and Pre-IPO SPACs'!Q401</f>
        <v>1150</v>
      </c>
      <c r="I400" s="100" t="str">
        <f>'Active and Pre-IPO SPACs'!M401</f>
        <v>U: [1/4 W]; W: [1:1, $11.5]</v>
      </c>
    </row>
    <row r="401">
      <c r="A401" s="78" t="str">
        <f>'Active and Pre-IPO SPACs'!A402</f>
        <v>IPVA</v>
      </c>
      <c r="B401" s="95" t="str">
        <f>'Active and Pre-IPO SPACs'!B402</f>
        <v>InterPrivate II Acquisition Corp.</v>
      </c>
      <c r="C401" s="95" t="str">
        <f>'Active and Pre-IPO SPACs'!C402</f>
        <v>Searching (Pre Unit Split)</v>
      </c>
      <c r="D401" s="91" t="str">
        <f>'Active and Pre-IPO SPACs'!D402</f>
        <v>Auto-tech, Mobility,business services, consumer, retail, e-commerce, Industrial Tech</v>
      </c>
      <c r="E401" s="96" t="str">
        <f>'Active and Pre-IPO SPACs'!E402</f>
        <v/>
      </c>
      <c r="F401" s="97" t="str">
        <f>'Active and Pre-IPO SPACs'!F402</f>
        <v>Ahmed Fattouh (CEO, InterPrivate)</v>
      </c>
      <c r="G401" s="98">
        <f>'Active and Pre-IPO SPACs'!P402</f>
        <v>44260</v>
      </c>
      <c r="H401" s="99">
        <f>'Active and Pre-IPO SPACs'!Q402</f>
        <v>258.75</v>
      </c>
      <c r="I401" s="100" t="str">
        <f>'Active and Pre-IPO SPACs'!M402</f>
        <v>U: [1/5 W]; W: [1:1, $11.5]</v>
      </c>
    </row>
    <row r="402">
      <c r="A402" s="78" t="str">
        <f>'Active and Pre-IPO SPACs'!A403</f>
        <v>IPVF</v>
      </c>
      <c r="B402" s="95" t="str">
        <f>'Active and Pre-IPO SPACs'!B403</f>
        <v>InterPrivate III Financial Partners Inc.</v>
      </c>
      <c r="C402" s="95" t="str">
        <f>'Active and Pre-IPO SPACs'!C403</f>
        <v>Searching (Pre Unit Split)</v>
      </c>
      <c r="D402" s="91" t="str">
        <f>'Active and Pre-IPO SPACs'!D403</f>
        <v>Asset/Wealth Management, Banking, Non-bank lending, Insurance</v>
      </c>
      <c r="E402" s="96" t="str">
        <f>'Active and Pre-IPO SPACs'!E403</f>
        <v/>
      </c>
      <c r="F402" s="97" t="str">
        <f>'Active and Pre-IPO SPACs'!F403</f>
        <v>Ahmed Fattouh (CEO, InterPrivate)</v>
      </c>
      <c r="G402" s="98">
        <f>'Active and Pre-IPO SPACs'!P403</f>
        <v>44260</v>
      </c>
      <c r="H402" s="99">
        <f>'Active and Pre-IPO SPACs'!Q403</f>
        <v>258.75</v>
      </c>
      <c r="I402" s="100" t="str">
        <f>'Active and Pre-IPO SPACs'!M403</f>
        <v>U: [1/5 W]; W: [1:1, $11.5]</v>
      </c>
    </row>
    <row r="403">
      <c r="A403" s="78" t="str">
        <f>'Active and Pre-IPO SPACs'!A404</f>
        <v>IPVI</v>
      </c>
      <c r="B403" s="95" t="str">
        <f>'Active and Pre-IPO SPACs'!B404</f>
        <v>InterPrivate IV InfraTech Partners Inc.</v>
      </c>
      <c r="C403" s="95" t="str">
        <f>'Active and Pre-IPO SPACs'!C404</f>
        <v>Searching (Pre Unit Split)</v>
      </c>
      <c r="D403" s="101" t="str">
        <f>'Active and Pre-IPO SPACs'!D404</f>
        <v>TMT infrastructure</v>
      </c>
      <c r="E403" s="96" t="str">
        <f>'Active and Pre-IPO SPACs'!E404</f>
        <v/>
      </c>
      <c r="F403" s="97" t="str">
        <f>'Active and Pre-IPO SPACs'!F404</f>
        <v>Ahmed Fattouh (CEO, InterPrivate)</v>
      </c>
      <c r="G403" s="98">
        <f>'Active and Pre-IPO SPACs'!P404</f>
        <v>44260</v>
      </c>
      <c r="H403" s="99">
        <f>'Active and Pre-IPO SPACs'!Q404</f>
        <v>287.5</v>
      </c>
      <c r="I403" s="100" t="str">
        <f>'Active and Pre-IPO SPACs'!M404</f>
        <v>U: [1/5 W]; W: [1:1, $11.5]</v>
      </c>
    </row>
    <row r="404">
      <c r="A404" s="78" t="str">
        <f>'Active and Pre-IPO SPACs'!A405</f>
        <v>ISAA</v>
      </c>
      <c r="B404" s="95" t="str">
        <f>'Active and Pre-IPO SPACs'!B405</f>
        <v>Iron Spark I Inc.</v>
      </c>
      <c r="C404" s="95" t="str">
        <f>'Active and Pre-IPO SPACs'!C405</f>
        <v>Pre IPO</v>
      </c>
      <c r="D404" s="101" t="str">
        <f>'Active and Pre-IPO SPACs'!D405</f>
        <v>Branded Consumer</v>
      </c>
      <c r="E404" s="96" t="str">
        <f>'Active and Pre-IPO SPACs'!E405</f>
        <v/>
      </c>
      <c r="F404" s="97" t="str">
        <f>'Active and Pre-IPO SPACs'!F405</f>
        <v>Amy Butte (Former CFO of the New York Stock Exchange), Alexander Oxman (Co-founder, Winc Wines), Jay Margolis (Former COO of Reebok International and Former Director of Boston Beer, Godiva Chocolatier, and Burlington Coat), Tony Hawk (Professional skateboarder), Musa Tariq (CMO of GoFundMe)</v>
      </c>
      <c r="G404" s="98" t="str">
        <f>'Active and Pre-IPO SPACs'!P405</f>
        <v/>
      </c>
      <c r="H404" s="99">
        <f>'Active and Pre-IPO SPACs'!Q405</f>
        <v>175</v>
      </c>
      <c r="I404" s="100" t="str">
        <f>'Active and Pre-IPO SPACs'!M405</f>
        <v>U: [1/2 W]; W: [1:1, $11.5]</v>
      </c>
    </row>
    <row r="405">
      <c r="A405" s="78" t="str">
        <f>'Active and Pre-IPO SPACs'!A406</f>
        <v>ISAP</v>
      </c>
      <c r="B405" s="95" t="str">
        <f>'Active and Pre-IPO SPACs'!B406</f>
        <v>Israel Amplify Program Corp.</v>
      </c>
      <c r="C405" s="95" t="str">
        <f>'Active and Pre-IPO SPACs'!C406</f>
        <v>Pre IPO</v>
      </c>
      <c r="D405" s="91" t="str">
        <f>'Active and Pre-IPO SPACs'!D406</f>
        <v>Tech in Israel</v>
      </c>
      <c r="E405" s="96" t="str">
        <f>'Active and Pre-IPO SPACs'!E406</f>
        <v/>
      </c>
      <c r="F405" s="97" t="str">
        <f>'Active and Pre-IPO SPACs'!F406</f>
        <v/>
      </c>
      <c r="G405" s="98" t="str">
        <f>'Active and Pre-IPO SPACs'!P406</f>
        <v/>
      </c>
      <c r="H405" s="99">
        <f>'Active and Pre-IPO SPACs'!Q406</f>
        <v>200</v>
      </c>
      <c r="I405" s="100" t="str">
        <f>'Active and Pre-IPO SPACs'!M406</f>
        <v>U: [1/5 W]; W: [1:1, $11.5]</v>
      </c>
    </row>
    <row r="406">
      <c r="A406" s="78" t="str">
        <f>'Active and Pre-IPO SPACs'!A407</f>
        <v>ISLE</v>
      </c>
      <c r="B406" s="95" t="str">
        <f>'Active and Pre-IPO SPACs'!B407</f>
        <v>Isleworth Healthcare Acquisition Corp.</v>
      </c>
      <c r="C406" s="95" t="str">
        <f>'Active and Pre-IPO SPACs'!C407</f>
        <v>Searching</v>
      </c>
      <c r="D406" s="101" t="str">
        <f>'Active and Pre-IPO SPACs'!D407</f>
        <v>Biopharma, MedTech, Healthcare innovation (North America, Europe, Asia)</v>
      </c>
      <c r="E406" s="96" t="str">
        <f>'Active and Pre-IPO SPACs'!E407</f>
        <v/>
      </c>
      <c r="F406" s="97" t="str">
        <f>'Active and Pre-IPO SPACs'!F407</f>
        <v>Allen Weiss (Fmr Pres, Walt Disney World)</v>
      </c>
      <c r="G406" s="98">
        <f>'Active and Pre-IPO SPACs'!P407</f>
        <v>44251</v>
      </c>
      <c r="H406" s="99">
        <f>'Active and Pre-IPO SPACs'!Q407</f>
        <v>207</v>
      </c>
      <c r="I406" s="100" t="str">
        <f>'Active and Pre-IPO SPACs'!M407</f>
        <v>U: [1/2 W]; W: [1:1, $11.5]</v>
      </c>
    </row>
    <row r="407">
      <c r="A407" s="78" t="str">
        <f>'Active and Pre-IPO SPACs'!A408</f>
        <v>ISOS</v>
      </c>
      <c r="B407" s="95" t="str">
        <f>'Active and Pre-IPO SPACs'!B408</f>
        <v>Isos Acquisition Corp</v>
      </c>
      <c r="C407" s="95" t="str">
        <f>'Active and Pre-IPO SPACs'!C408</f>
        <v>Searching (Pre Unit Split)</v>
      </c>
      <c r="D407" s="91" t="str">
        <f>'Active and Pre-IPO SPACs'!D408</f>
        <v>Digital Media, Entertainment</v>
      </c>
      <c r="E407" s="96" t="str">
        <f>'Active and Pre-IPO SPACs'!E408</f>
        <v/>
      </c>
      <c r="F407" s="97" t="str">
        <f>'Active and Pre-IPO SPACs'!F408</f>
        <v>George Barrios (Co-Pres/Director, World Wrestling Entertainment d/b/a WWE) , Michelle Wilson (Co-Pres/Director, WWE), Jacqueline Hernández (Fmr COO, Telemundo)</v>
      </c>
      <c r="G407" s="98">
        <f>'Active and Pre-IPO SPACs'!P408</f>
        <v>44257</v>
      </c>
      <c r="H407" s="99">
        <f>'Active and Pre-IPO SPACs'!Q408</f>
        <v>254.837</v>
      </c>
      <c r="I407" s="100" t="str">
        <f>'Active and Pre-IPO SPACs'!M408</f>
        <v>U: [1/3 W]; W: [1:1, $11.5]</v>
      </c>
    </row>
    <row r="408">
      <c r="A408" s="78" t="str">
        <f>'Active and Pre-IPO SPACs'!A409</f>
        <v>ITAC</v>
      </c>
      <c r="B408" s="95" t="str">
        <f>'Active and Pre-IPO SPACs'!B409</f>
        <v>Industrial Tech Acquisitions, Inc.</v>
      </c>
      <c r="C408" s="95" t="str">
        <f>'Active and Pre-IPO SPACs'!C409</f>
        <v>Definitive Agreement</v>
      </c>
      <c r="D408" s="101" t="str">
        <f>'Active and Pre-IPO SPACs'!D409</f>
        <v>Industrial Tech, Energy Tech, Software, IoT, Cloud, LTE, 5G</v>
      </c>
      <c r="E408" s="96" t="str">
        <f>'Active and Pre-IPO SPACs'!E409</f>
        <v>Arbe Robotics [DA: 03/18/21]</v>
      </c>
      <c r="F408" s="97" t="str">
        <f>'Active and Pre-IPO SPACs'!F409</f>
        <v/>
      </c>
      <c r="G408" s="98">
        <f>'Active and Pre-IPO SPACs'!P409</f>
        <v>44082</v>
      </c>
      <c r="H408" s="99">
        <f>'Active and Pre-IPO SPACs'!Q409</f>
        <v>76.99836</v>
      </c>
      <c r="I408" s="100" t="str">
        <f>'Active and Pre-IPO SPACs'!M409</f>
        <v>U: [1 W]; W: [1:1, $11.5]</v>
      </c>
    </row>
    <row r="409">
      <c r="A409" s="78" t="str">
        <f>'Active and Pre-IPO SPACs'!A410</f>
        <v>ITAQ</v>
      </c>
      <c r="B409" s="95" t="str">
        <f>'Active and Pre-IPO SPACs'!B410</f>
        <v>Industrial Tech Acquisitions II, Inc.</v>
      </c>
      <c r="C409" s="95" t="str">
        <f>'Active and Pre-IPO SPACs'!C410</f>
        <v>Pre IPO</v>
      </c>
      <c r="D409" s="101" t="str">
        <f>'Active and Pre-IPO SPACs'!D410</f>
        <v>Industrial Tech, Energy Tech, Software, IoT, Cloud, LTE, 5G</v>
      </c>
      <c r="E409" s="96" t="str">
        <f>'Active and Pre-IPO SPACs'!E410</f>
        <v/>
      </c>
      <c r="F409" s="97" t="str">
        <f>'Active and Pre-IPO SPACs'!F410</f>
        <v/>
      </c>
      <c r="G409" s="98" t="str">
        <f>'Active and Pre-IPO SPACs'!P410</f>
        <v/>
      </c>
      <c r="H409" s="99">
        <f>'Active and Pre-IPO SPACs'!Q410</f>
        <v>150</v>
      </c>
      <c r="I409" s="100" t="str">
        <f>'Active and Pre-IPO SPACs'!M410</f>
        <v>U: [1/2 W]; W: [1:1, $11.5]</v>
      </c>
    </row>
    <row r="410">
      <c r="A410" s="78" t="str">
        <f>'Active and Pre-IPO SPACs'!A411</f>
        <v>ITHX</v>
      </c>
      <c r="B410" s="95" t="str">
        <f>'Active and Pre-IPO SPACs'!B411</f>
        <v>ITHAX Acquisition Corp.</v>
      </c>
      <c r="C410" s="95" t="str">
        <f>'Active and Pre-IPO SPACs'!C411</f>
        <v>Searching</v>
      </c>
      <c r="D410" s="101" t="str">
        <f>'Active and Pre-IPO SPACs'!D411</f>
        <v>Leisure, Hospitality, Travel</v>
      </c>
      <c r="E410" s="96" t="str">
        <f>'Active and Pre-IPO SPACs'!E411</f>
        <v/>
      </c>
      <c r="F410" s="97" t="str">
        <f>'Active and Pre-IPO SPACs'!F411</f>
        <v/>
      </c>
      <c r="G410" s="98">
        <f>'Active and Pre-IPO SPACs'!P411</f>
        <v>44223</v>
      </c>
      <c r="H410" s="99">
        <f>'Active and Pre-IPO SPACs'!Q411</f>
        <v>241.5</v>
      </c>
      <c r="I410" s="100" t="str">
        <f>'Active and Pre-IPO SPACs'!M411</f>
        <v>U: [1/2 W]; W: [1:1, $11.5]</v>
      </c>
    </row>
    <row r="411">
      <c r="A411" s="78" t="str">
        <f>'Active and Pre-IPO SPACs'!A412</f>
        <v>ITQ</v>
      </c>
      <c r="B411" s="95" t="str">
        <f>'Active and Pre-IPO SPACs'!B412</f>
        <v>Itiquira Acquisition Corp.</v>
      </c>
      <c r="C411" s="95" t="str">
        <f>'Active and Pre-IPO SPACs'!C412</f>
        <v>Searching</v>
      </c>
      <c r="D411" s="101" t="str">
        <f>'Active and Pre-IPO SPACs'!D412</f>
        <v>Brazil</v>
      </c>
      <c r="E411" s="96" t="str">
        <f>'Active and Pre-IPO SPACs'!E412</f>
        <v/>
      </c>
      <c r="F411" s="97" t="str">
        <f>'Active and Pre-IPO SPACs'!F412</f>
        <v/>
      </c>
      <c r="G411" s="98">
        <f>'Active and Pre-IPO SPACs'!P412</f>
        <v>44230</v>
      </c>
      <c r="H411" s="99">
        <f>'Active and Pre-IPO SPACs'!Q412</f>
        <v>230</v>
      </c>
      <c r="I411" s="100" t="str">
        <f>'Active and Pre-IPO SPACs'!M412</f>
        <v>U: [1/2 W]; W: [1:1, $11.5]</v>
      </c>
    </row>
    <row r="412">
      <c r="A412" s="78" t="str">
        <f>'Active and Pre-IPO SPACs'!A413</f>
        <v>IVAN</v>
      </c>
      <c r="B412" s="95" t="str">
        <f>'Active and Pre-IPO SPACs'!B413</f>
        <v>Ivanhoe Capital Acquisition Corp.</v>
      </c>
      <c r="C412" s="95" t="str">
        <f>'Active and Pre-IPO SPACs'!C413</f>
        <v>Searching</v>
      </c>
      <c r="D412" s="101" t="str">
        <f>'Active and Pre-IPO SPACs'!D413</f>
        <v>Electrification (Mining, Transportation, Battery Tech/Storage)</v>
      </c>
      <c r="E412" s="96" t="str">
        <f>'Active and Pre-IPO SPACs'!E413</f>
        <v/>
      </c>
      <c r="F412" s="97" t="str">
        <f>'Active and Pre-IPO SPACs'!F413</f>
        <v>Robert Friedland (President/CEO, Ivanhoe Capital and Ivanhoe Mines)</v>
      </c>
      <c r="G412" s="98">
        <f>'Active and Pre-IPO SPACs'!P413</f>
        <v>44202</v>
      </c>
      <c r="H412" s="99">
        <f>'Active and Pre-IPO SPACs'!Q413</f>
        <v>276</v>
      </c>
      <c r="I412" s="100" t="str">
        <f>'Active and Pre-IPO SPACs'!M413</f>
        <v>U: [1/3 W]; W: [1:1, $11.5]</v>
      </c>
    </row>
    <row r="413">
      <c r="A413" s="78" t="str">
        <f>'Active and Pre-IPO SPACs'!A414</f>
        <v>IVCP</v>
      </c>
      <c r="B413" s="95" t="str">
        <f>'Active and Pre-IPO SPACs'!B414</f>
        <v>Swiftmerge Acquisition Corp.</v>
      </c>
      <c r="C413" s="95" t="str">
        <f>'Active and Pre-IPO SPACs'!C414</f>
        <v>Pre IPO</v>
      </c>
      <c r="D413" s="101" t="str">
        <f>'Active and Pre-IPO SPACs'!D414</f>
        <v>Consumer Tech/Internet</v>
      </c>
      <c r="E413" s="96" t="str">
        <f>'Active and Pre-IPO SPACs'!E414</f>
        <v/>
      </c>
      <c r="F413" s="97" t="str">
        <f>'Active and Pre-IPO SPACs'!F414</f>
        <v>George Jones (Former CEO of Borders and Former CEO of Saks Department Store Group), General (Ret.) Wesley Clark, Dario Meli (Co-Founder of Hootsuite), Praveen Varshney (Co-Founder &amp; Director of Mogo)</v>
      </c>
      <c r="G413" s="98" t="str">
        <f>'Active and Pre-IPO SPACs'!P414</f>
        <v/>
      </c>
      <c r="H413" s="99">
        <f>'Active and Pre-IPO SPACs'!Q414</f>
        <v>250</v>
      </c>
      <c r="I413" s="100" t="str">
        <f>'Active and Pre-IPO SPACs'!M414</f>
        <v>U: [1/3 W]; W: [1:1, $11.5]</v>
      </c>
    </row>
    <row r="414">
      <c r="A414" s="78" t="str">
        <f>'Active and Pre-IPO SPACs'!A415</f>
        <v>JAAC</v>
      </c>
      <c r="B414" s="95" t="str">
        <f>'Active and Pre-IPO SPACs'!B415</f>
        <v>Just Another Acquisition Corp.</v>
      </c>
      <c r="C414" s="95" t="str">
        <f>'Active and Pre-IPO SPACs'!C415</f>
        <v>Pre IPO</v>
      </c>
      <c r="D414" s="91" t="str">
        <f>'Active and Pre-IPO SPACs'!D415</f>
        <v/>
      </c>
      <c r="E414" s="96" t="str">
        <f>'Active and Pre-IPO SPACs'!E415</f>
        <v/>
      </c>
      <c r="F414" s="97" t="str">
        <f>'Active and Pre-IPO SPACs'!F415</f>
        <v/>
      </c>
      <c r="G414" s="98" t="str">
        <f>'Active and Pre-IPO SPACs'!P415</f>
        <v/>
      </c>
      <c r="H414" s="99">
        <f>'Active and Pre-IPO SPACs'!Q415</f>
        <v>60</v>
      </c>
      <c r="I414" s="100" t="str">
        <f>'Active and Pre-IPO SPACs'!M415</f>
        <v>U: [No Units]; W: [No Warrants]</v>
      </c>
    </row>
    <row r="415">
      <c r="A415" s="78" t="str">
        <f>'Active and Pre-IPO SPACs'!A416</f>
        <v>JACA</v>
      </c>
      <c r="B415" s="95" t="str">
        <f>'Active and Pre-IPO SPACs'!B416</f>
        <v>Jeneration Acquisition Corp</v>
      </c>
      <c r="C415" s="95" t="str">
        <f>'Active and Pre-IPO SPACs'!C416</f>
        <v>Pre IPO</v>
      </c>
      <c r="D415" s="101" t="str">
        <f>'Active and Pre-IPO SPACs'!D416</f>
        <v>Tech in Asia (focus in China), Mobility, AI, robotics &amp; clean energy</v>
      </c>
      <c r="E415" s="96" t="str">
        <f>'Active and Pre-IPO SPACs'!E416</f>
        <v/>
      </c>
      <c r="F415" s="97" t="str">
        <f>'Active and Pre-IPO SPACs'!F416</f>
        <v>Jason Tan (Partner &amp; Chief Investment Officer of Jeneration Capital, and Former Director of JD.com &amp; Grab), Eric Levin (CFO of Warner Music Group Corp), Cheng Lu (CEO of TuSimple)</v>
      </c>
      <c r="G415" s="98" t="str">
        <f>'Active and Pre-IPO SPACs'!P416</f>
        <v/>
      </c>
      <c r="H415" s="99">
        <f>'Active and Pre-IPO SPACs'!Q416</f>
        <v>300</v>
      </c>
      <c r="I415" s="100" t="str">
        <f>'Active and Pre-IPO SPACs'!M416</f>
        <v>U: [1/4 W]; W: [1:1, $11.5]</v>
      </c>
    </row>
    <row r="416">
      <c r="A416" s="78" t="str">
        <f>'Active and Pre-IPO SPACs'!A417</f>
        <v>JAQC</v>
      </c>
      <c r="B416" s="95" t="str">
        <f>'Active and Pre-IPO SPACs'!B417</f>
        <v>Jupiter Acquisition Corporation</v>
      </c>
      <c r="C416" s="95" t="str">
        <f>'Active and Pre-IPO SPACs'!C417</f>
        <v>Pre IPO</v>
      </c>
      <c r="D416" s="101" t="str">
        <f>'Active and Pre-IPO SPACs'!D417</f>
        <v>Consumer and Tech, Media, Telecom</v>
      </c>
      <c r="E416" s="96" t="str">
        <f>'Active and Pre-IPO SPACs'!E417</f>
        <v/>
      </c>
      <c r="F416" s="97" t="str">
        <f>'Active and Pre-IPO SPACs'!F417</f>
        <v>James Hauslein (Former CEO, Sunglass Hut)</v>
      </c>
      <c r="G416" s="98" t="str">
        <f>'Active and Pre-IPO SPACs'!P417</f>
        <v/>
      </c>
      <c r="H416" s="99">
        <f>'Active and Pre-IPO SPACs'!Q417</f>
        <v>200</v>
      </c>
      <c r="I416" s="100" t="str">
        <f>'Active and Pre-IPO SPACs'!M417</f>
        <v>U: [1/2 W]; W: [1:1, $11.5]</v>
      </c>
    </row>
    <row r="417">
      <c r="A417" s="78" t="str">
        <f>'Active and Pre-IPO SPACs'!A418</f>
        <v>JCIC</v>
      </c>
      <c r="B417" s="95" t="str">
        <f>'Active and Pre-IPO SPACs'!B418</f>
        <v>Jack Creek Investment Corp.</v>
      </c>
      <c r="C417" s="95" t="str">
        <f>'Active and Pre-IPO SPACs'!C418</f>
        <v>Searching</v>
      </c>
      <c r="D417" s="101" t="str">
        <f>'Active and Pre-IPO SPACs'!D418</f>
        <v>Food and Grocery Supply Chain</v>
      </c>
      <c r="E417" s="96" t="str">
        <f>'Active and Pre-IPO SPACs'!E418</f>
        <v/>
      </c>
      <c r="F417" s="97" t="str">
        <f>'Active and Pre-IPO SPACs'!F418</f>
        <v>Thomas Jermoluk (CEO, Beyond Identity; Fmr GP, Kleiner Perkins), Samir Kaul (GP, Khosla Ventures)</v>
      </c>
      <c r="G417" s="98">
        <f>'Active and Pre-IPO SPACs'!P418</f>
        <v>44217</v>
      </c>
      <c r="H417" s="99">
        <f>'Active and Pre-IPO SPACs'!Q418</f>
        <v>345</v>
      </c>
      <c r="I417" s="100" t="str">
        <f>'Active and Pre-IPO SPACs'!M418</f>
        <v>U: [1/2 W]; W: [1:1, $11.5]</v>
      </c>
    </row>
    <row r="418">
      <c r="A418" s="78" t="str">
        <f>'Active and Pre-IPO SPACs'!A419</f>
        <v>JIH</v>
      </c>
      <c r="B418" s="95" t="str">
        <f>'Active and Pre-IPO SPACs'!B419</f>
        <v>Juniper Industrial Holdings Inc</v>
      </c>
      <c r="C418" s="95" t="str">
        <f>'Active and Pre-IPO SPACs'!C419</f>
        <v>Definitive Agreement</v>
      </c>
      <c r="D418" s="101" t="str">
        <f>'Active and Pre-IPO SPACs'!D419</f>
        <v>Industrials</v>
      </c>
      <c r="E418" s="96" t="str">
        <f>'Active and Pre-IPO SPACs'!E419</f>
        <v>Janus International [DA: 12/22/20]</v>
      </c>
      <c r="F418" s="97" t="str">
        <f>'Active and Pre-IPO SPACs'!F419</f>
        <v/>
      </c>
      <c r="G418" s="98">
        <f>'Active and Pre-IPO SPACs'!P419</f>
        <v>43777</v>
      </c>
      <c r="H418" s="99">
        <f>'Active and Pre-IPO SPACs'!Q419</f>
        <v>345</v>
      </c>
      <c r="I418" s="100" t="str">
        <f>'Active and Pre-IPO SPACs'!M419</f>
        <v>U: [1/2 W]; W: [1:1, $11.5]</v>
      </c>
    </row>
    <row r="419">
      <c r="A419" s="78" t="str">
        <f>'Active and Pre-IPO SPACs'!A420</f>
        <v>JOFF</v>
      </c>
      <c r="B419" s="95" t="str">
        <f>'Active and Pre-IPO SPACs'!B420</f>
        <v>JOFF Fintech Acquisition Corp.</v>
      </c>
      <c r="C419" s="95" t="str">
        <f>'Active and Pre-IPO SPACs'!C420</f>
        <v>Searching</v>
      </c>
      <c r="D419" s="101" t="str">
        <f>'Active and Pre-IPO SPACs'!D420</f>
        <v>Fintech</v>
      </c>
      <c r="E419" s="96" t="str">
        <f>'Active and Pre-IPO SPACs'!E420</f>
        <v/>
      </c>
      <c r="F419" s="97" t="str">
        <f>'Active and Pre-IPO SPACs'!F420</f>
        <v>Joel Leonoff (Vice Chairman, Paysafe), Peter Smith (Fmr CFO, Paysafe), Alok Sama (Fmr CFO, SoftBank Group International; Fmr Chief Strategy Officer, SoftBank Group)</v>
      </c>
      <c r="G419" s="98">
        <f>'Active and Pre-IPO SPACs'!P420</f>
        <v>44231</v>
      </c>
      <c r="H419" s="99">
        <f>'Active and Pre-IPO SPACs'!Q420</f>
        <v>414</v>
      </c>
      <c r="I419" s="100" t="str">
        <f>'Active and Pre-IPO SPACs'!M420</f>
        <v>U: [1/3 W]; W: [1:1, $11.5]</v>
      </c>
    </row>
    <row r="420">
      <c r="A420" s="78" t="str">
        <f>'Active and Pre-IPO SPACs'!A421</f>
        <v>JUGG</v>
      </c>
      <c r="B420" s="95" t="str">
        <f>'Active and Pre-IPO SPACs'!B421</f>
        <v>Jaws Juggernaut Acquisition Corp</v>
      </c>
      <c r="C420" s="95" t="str">
        <f>'Active and Pre-IPO SPACs'!C421</f>
        <v>Pre IPO</v>
      </c>
      <c r="D420" s="101" t="str">
        <f>'Active and Pre-IPO SPACs'!D421</f>
        <v>Wireless communications &amp; XCOM Labs</v>
      </c>
      <c r="E420" s="96" t="str">
        <f>'Active and Pre-IPO SPACs'!E421</f>
        <v/>
      </c>
      <c r="F420" s="97" t="str">
        <f>'Active and Pre-IPO SPACs'!F421</f>
        <v>Barry Sternlicht (Chairman/CEO, Starwood Capital), Paul Jacobs (Fmr Executive Chairman/CEO, Qualcomm; Chairman/CEO, XCOM Labs)</v>
      </c>
      <c r="G420" s="98" t="str">
        <f>'Active and Pre-IPO SPACs'!P421</f>
        <v/>
      </c>
      <c r="H420" s="99">
        <f>'Active and Pre-IPO SPACs'!Q421</f>
        <v>200</v>
      </c>
      <c r="I420" s="100" t="str">
        <f>'Active and Pre-IPO SPACs'!M421</f>
        <v>U: [1/4 W]; W: [1:1, $11.5]</v>
      </c>
    </row>
    <row r="421">
      <c r="A421" s="78" t="str">
        <f>'Active and Pre-IPO SPACs'!A422</f>
        <v>JUN</v>
      </c>
      <c r="B421" s="95" t="str">
        <f>'Active and Pre-IPO SPACs'!B422</f>
        <v>Juniper II Corp.</v>
      </c>
      <c r="C421" s="95" t="str">
        <f>'Active and Pre-IPO SPACs'!C422</f>
        <v>Pre IPO</v>
      </c>
      <c r="D421" s="91" t="str">
        <f>'Active and Pre-IPO SPACs'!D422</f>
        <v>Industrial</v>
      </c>
      <c r="E421" s="96" t="str">
        <f>'Active and Pre-IPO SPACs'!E422</f>
        <v/>
      </c>
      <c r="F421" s="97" t="str">
        <f>'Active and Pre-IPO SPACs'!F422</f>
        <v/>
      </c>
      <c r="G421" s="98" t="str">
        <f>'Active and Pre-IPO SPACs'!P422</f>
        <v/>
      </c>
      <c r="H421" s="99">
        <f>'Active and Pre-IPO SPACs'!Q422</f>
        <v>400</v>
      </c>
      <c r="I421" s="100" t="str">
        <f>'Active and Pre-IPO SPACs'!M422</f>
        <v>U: [1/4 W]; W: [1:1, $11.5]</v>
      </c>
    </row>
    <row r="422">
      <c r="A422" s="78" t="str">
        <f>'Active and Pre-IPO SPACs'!A423</f>
        <v>JWS</v>
      </c>
      <c r="B422" s="95" t="str">
        <f>'Active and Pre-IPO SPACs'!B423</f>
        <v>Jaws Acquisition Corp</v>
      </c>
      <c r="C422" s="95" t="str">
        <f>'Active and Pre-IPO SPACs'!C423</f>
        <v>Definitive Agreement</v>
      </c>
      <c r="D422" s="91" t="str">
        <f>'Active and Pre-IPO SPACs'!D423</f>
        <v/>
      </c>
      <c r="E422" s="96" t="str">
        <f>'Active and Pre-IPO SPACs'!E423</f>
        <v>Cano Health [DA: 11/12/20]</v>
      </c>
      <c r="F422" s="97" t="str">
        <f>'Active and Pre-IPO SPACs'!F423</f>
        <v>Barry Sternlicht (Chairman and CEO of Starwood Capital Group)</v>
      </c>
      <c r="G422" s="98">
        <f>'Active and Pre-IPO SPACs'!P423</f>
        <v>43965</v>
      </c>
      <c r="H422" s="99">
        <f>'Active and Pre-IPO SPACs'!Q423</f>
        <v>690</v>
      </c>
      <c r="I422" s="100" t="str">
        <f>'Active and Pre-IPO SPACs'!M423</f>
        <v>U: [1/3 W]; W: [1:1, $11.5]</v>
      </c>
    </row>
    <row r="423">
      <c r="A423" s="78" t="str">
        <f>'Active and Pre-IPO SPACs'!A424</f>
        <v>JWSM</v>
      </c>
      <c r="B423" s="95" t="str">
        <f>'Active and Pre-IPO SPACs'!B424</f>
        <v>Jaws Mustang Acquisition Corporation</v>
      </c>
      <c r="C423" s="95" t="str">
        <f>'Active and Pre-IPO SPACs'!C424</f>
        <v>Searching</v>
      </c>
      <c r="D423" s="91" t="str">
        <f>'Active and Pre-IPO SPACs'!D424</f>
        <v>North America/Europe</v>
      </c>
      <c r="E423" s="96" t="str">
        <f>'Active and Pre-IPO SPACs'!E424</f>
        <v/>
      </c>
      <c r="F423" s="97" t="str">
        <f>'Active and Pre-IPO SPACs'!F424</f>
        <v>Barry Sternlicht (Chairman and CEO of Starwood Capital Group), John Legere (Fmr CEO, T-Mobile)</v>
      </c>
      <c r="G423" s="98">
        <f>'Active and Pre-IPO SPACs'!P424</f>
        <v>44229</v>
      </c>
      <c r="H423" s="99">
        <f>'Active and Pre-IPO SPACs'!Q424</f>
        <v>1035</v>
      </c>
      <c r="I423" s="100" t="str">
        <f>'Active and Pre-IPO SPACs'!M424</f>
        <v>U: [1/4 W]; W: [1:1, $11.5]</v>
      </c>
    </row>
    <row r="424">
      <c r="A424" s="78" t="str">
        <f>'Active and Pre-IPO SPACs'!A425</f>
        <v>JYAC</v>
      </c>
      <c r="B424" s="95" t="str">
        <f>'Active and Pre-IPO SPACs'!B425</f>
        <v>Jiya Acquisition Corp.</v>
      </c>
      <c r="C424" s="95" t="str">
        <f>'Active and Pre-IPO SPACs'!C425</f>
        <v>Searching</v>
      </c>
      <c r="D424" s="101" t="str">
        <f>'Active and Pre-IPO SPACs'!D425</f>
        <v>Biopharma, Healthcare</v>
      </c>
      <c r="E424" s="96" t="str">
        <f>'Active and Pre-IPO SPACs'!E425</f>
        <v/>
      </c>
      <c r="F424" s="97" t="str">
        <f>'Active and Pre-IPO SPACs'!F425</f>
        <v>Srinivas Akkaraju (Founder/MP, Samsara Biocapital), Perry Karsen (Chair, Jounce Therapeutics; Fmr COO, Celgene)</v>
      </c>
      <c r="G424" s="98">
        <f>'Active and Pre-IPO SPACs'!P425</f>
        <v>44153</v>
      </c>
      <c r="H424" s="99">
        <f>'Active and Pre-IPO SPACs'!Q425</f>
        <v>100</v>
      </c>
      <c r="I424" s="100" t="str">
        <f>'Active and Pre-IPO SPACs'!M425</f>
        <v>U: [No units]; W: [No warrants]</v>
      </c>
    </row>
    <row r="425">
      <c r="A425" s="78" t="str">
        <f>'Active and Pre-IPO SPACs'!A426</f>
        <v>KAHC</v>
      </c>
      <c r="B425" s="95" t="str">
        <f>'Active and Pre-IPO SPACs'!B426</f>
        <v>KKR Acquisition Holdings I Corp.</v>
      </c>
      <c r="C425" s="95" t="str">
        <f>'Active and Pre-IPO SPACs'!C426</f>
        <v>Searching (Pre Unit Split)</v>
      </c>
      <c r="D425" s="101" t="str">
        <f>'Active and Pre-IPO SPACs'!D426</f>
        <v>Consumer, Retail</v>
      </c>
      <c r="E425" s="96" t="str">
        <f>'Active and Pre-IPO SPACs'!E426</f>
        <v/>
      </c>
      <c r="F425" s="97" t="str">
        <f>'Active and Pre-IPO SPACs'!F426</f>
        <v>Glenn Murphy (Fmr CEO, The Gap; Chairman, Lululemon Athletica)</v>
      </c>
      <c r="G425" s="98">
        <f>'Active and Pre-IPO SPACs'!P426</f>
        <v>44272</v>
      </c>
      <c r="H425" s="99">
        <f>'Active and Pre-IPO SPACs'!Q426</f>
        <v>1200</v>
      </c>
      <c r="I425" s="100" t="str">
        <f>'Active and Pre-IPO SPACs'!M426</f>
        <v>U: [1/4 W]; W: [1:1, $11.5]</v>
      </c>
    </row>
    <row r="426">
      <c r="A426" s="78" t="str">
        <f>'Active and Pre-IPO SPACs'!A427</f>
        <v>KAII</v>
      </c>
      <c r="B426" s="95" t="str">
        <f>'Active and Pre-IPO SPACs'!B427</f>
        <v>Kismet Acquisition Two Corp</v>
      </c>
      <c r="C426" s="95" t="str">
        <f>'Active and Pre-IPO SPACs'!C427</f>
        <v>Searching (Pre Unit Split)</v>
      </c>
      <c r="D426" s="101" t="str">
        <f>'Active and Pre-IPO SPACs'!D427</f>
        <v>Internet, Tech, Europe, Russia (Russian founders)</v>
      </c>
      <c r="E426" s="96" t="str">
        <f>'Active and Pre-IPO SPACs'!E427</f>
        <v/>
      </c>
      <c r="F426" s="97" t="str">
        <f>'Active and Pre-IPO SPACs'!F427</f>
        <v/>
      </c>
      <c r="G426" s="98">
        <f>'Active and Pre-IPO SPACs'!P427</f>
        <v>44244</v>
      </c>
      <c r="H426" s="99">
        <f>'Active and Pre-IPO SPACs'!Q427</f>
        <v>230</v>
      </c>
      <c r="I426" s="100" t="str">
        <f>'Active and Pre-IPO SPACs'!M427</f>
        <v>U: [1/3 W]; W: [1:1, $11.5]</v>
      </c>
    </row>
    <row r="427">
      <c r="A427" s="78" t="str">
        <f>'Active and Pre-IPO SPACs'!A428</f>
        <v>KAIR</v>
      </c>
      <c r="B427" s="95" t="str">
        <f>'Active and Pre-IPO SPACs'!B428</f>
        <v>Kairos Acquisition Corp.</v>
      </c>
      <c r="C427" s="95" t="str">
        <f>'Active and Pre-IPO SPACs'!C428</f>
        <v>Searching</v>
      </c>
      <c r="D427" s="101" t="str">
        <f>'Active and Pre-IPO SPACs'!D428</f>
        <v>Insurance, InsurTech</v>
      </c>
      <c r="E427" s="96" t="str">
        <f>'Active and Pre-IPO SPACs'!E428</f>
        <v/>
      </c>
      <c r="F427" s="97" t="str">
        <f>'Active and Pre-IPO SPACs'!F428</f>
        <v/>
      </c>
      <c r="G427" s="98">
        <f>'Active and Pre-IPO SPACs'!P428</f>
        <v>44201</v>
      </c>
      <c r="H427" s="99">
        <f>'Active and Pre-IPO SPACs'!Q428</f>
        <v>276</v>
      </c>
      <c r="I427" s="100" t="str">
        <f>'Active and Pre-IPO SPACs'!M428</f>
        <v>U: [1/2 W]; W: [1:1, $11.5]</v>
      </c>
    </row>
    <row r="428">
      <c r="A428" s="78" t="str">
        <f>'Active and Pre-IPO SPACs'!A429</f>
        <v>KCAC</v>
      </c>
      <c r="B428" s="95" t="str">
        <f>'Active and Pre-IPO SPACs'!B429</f>
        <v>Kensington Capital Acquisition Corp. II</v>
      </c>
      <c r="C428" s="95" t="str">
        <f>'Active and Pre-IPO SPACs'!C429</f>
        <v>Searching (Pre Unit Split)</v>
      </c>
      <c r="D428" s="91" t="str">
        <f>'Active and Pre-IPO SPACs'!D429</f>
        <v>Automotive, North America</v>
      </c>
      <c r="E428" s="96" t="str">
        <f>'Active and Pre-IPO SPACs'!E429</f>
        <v/>
      </c>
      <c r="F428" s="97" t="str">
        <f>'Active and Pre-IPO SPACs'!F429</f>
        <v>Justin Mirro (Director, QuantumScape), Thomas LaSorda (Fmr CEO, Chrysler; Fmr CEO, Fisker), Donald Runkle (Fmr CEO, EcoMotors)</v>
      </c>
      <c r="G428" s="98">
        <f>'Active and Pre-IPO SPACs'!P429</f>
        <v>44252</v>
      </c>
      <c r="H428" s="99">
        <f>'Active and Pre-IPO SPACs'!Q429</f>
        <v>230</v>
      </c>
      <c r="I428" s="100" t="str">
        <f>'Active and Pre-IPO SPACs'!M429</f>
        <v>U: [1/4 W]; W: [1:1, $11.5]</v>
      </c>
    </row>
    <row r="429">
      <c r="A429" s="78" t="str">
        <f>'Active and Pre-IPO SPACs'!A430</f>
        <v>KETA</v>
      </c>
      <c r="B429" s="95" t="str">
        <f>'Active and Pre-IPO SPACs'!B430</f>
        <v>Keter1 Acquisition Corp</v>
      </c>
      <c r="C429" s="95" t="str">
        <f>'Active and Pre-IPO SPACs'!C430</f>
        <v>Pre IPO</v>
      </c>
      <c r="D429" s="101" t="str">
        <f>'Active and Pre-IPO SPACs'!D430</f>
        <v>Israel, Tech</v>
      </c>
      <c r="E429" s="96" t="str">
        <f>'Active and Pre-IPO SPACs'!E430</f>
        <v/>
      </c>
      <c r="F429" s="97" t="str">
        <f>'Active and Pre-IPO SPACs'!F430</f>
        <v>Oren Dobronsky (Co-founder, Hotbar.com), Oren Zeev (Founding Partner, Zeev Ventures), Michael Ronen (Fmr MP, Softbank Vision Fund)</v>
      </c>
      <c r="G429" s="98" t="str">
        <f>'Active and Pre-IPO SPACs'!P430</f>
        <v/>
      </c>
      <c r="H429" s="99">
        <f>'Active and Pre-IPO SPACs'!Q430</f>
        <v>250</v>
      </c>
      <c r="I429" s="100" t="str">
        <f>'Active and Pre-IPO SPACs'!M430</f>
        <v>U: [1/3 W]; W: [1:1, $11.5]</v>
      </c>
    </row>
    <row r="430">
      <c r="A430" s="78" t="str">
        <f>'Active and Pre-IPO SPACs'!A431</f>
        <v>KIII</v>
      </c>
      <c r="B430" s="95" t="str">
        <f>'Active and Pre-IPO SPACs'!B431</f>
        <v>Kismet Acquisition Three Corp</v>
      </c>
      <c r="C430" s="95" t="str">
        <f>'Active and Pre-IPO SPACs'!C431</f>
        <v>Searching (Pre Unit Split)</v>
      </c>
      <c r="D430" s="101" t="str">
        <f>'Active and Pre-IPO SPACs'!D431</f>
        <v>Internet, Tech, Europe, Russia (Russian founders)</v>
      </c>
      <c r="E430" s="96" t="str">
        <f>'Active and Pre-IPO SPACs'!E431</f>
        <v/>
      </c>
      <c r="F430" s="97" t="str">
        <f>'Active and Pre-IPO SPACs'!F431</f>
        <v/>
      </c>
      <c r="G430" s="98">
        <f>'Active and Pre-IPO SPACs'!P431</f>
        <v>44244</v>
      </c>
      <c r="H430" s="99">
        <f>'Active and Pre-IPO SPACs'!Q431</f>
        <v>287.5</v>
      </c>
      <c r="I430" s="100" t="str">
        <f>'Active and Pre-IPO SPACs'!M431</f>
        <v>U: [1/3 W]; W: [1:1, $11.5]</v>
      </c>
    </row>
    <row r="431">
      <c r="A431" s="78" t="str">
        <f>'Active and Pre-IPO SPACs'!A432</f>
        <v>KINZ</v>
      </c>
      <c r="B431" s="95" t="str">
        <f>'Active and Pre-IPO SPACs'!B432</f>
        <v>KINS Technology Group Inc.</v>
      </c>
      <c r="C431" s="95" t="str">
        <f>'Active and Pre-IPO SPACs'!C432</f>
        <v>Searching</v>
      </c>
      <c r="D431" s="101" t="str">
        <f>'Active and Pre-IPO SPACs'!D432</f>
        <v>Tech</v>
      </c>
      <c r="E431" s="96" t="str">
        <f>'Active and Pre-IPO SPACs'!E432</f>
        <v/>
      </c>
      <c r="F431" s="97" t="str">
        <f>'Active and Pre-IPO SPACs'!F432</f>
        <v>Khurram Sheikh (Former CTO, Powerwave Technologies), Hassan Ahmed (Former CEO, Affirmed Networks), Di-Ann Eisnor (Co-founder/CEO, Core), Camillo Martino (Chairman, MagnaChip Semiconductor), Allen Salmasi (CEO, Veea; Fmr CEO, NextWave Wireless)</v>
      </c>
      <c r="G431" s="98">
        <f>'Active and Pre-IPO SPACs'!P432</f>
        <v>44180</v>
      </c>
      <c r="H431" s="99">
        <f>'Active and Pre-IPO SPACs'!Q432</f>
        <v>240</v>
      </c>
      <c r="I431" s="100" t="str">
        <f>'Active and Pre-IPO SPACs'!M432</f>
        <v>U: [1/2 W]; W: [1:1, $11.5]</v>
      </c>
    </row>
    <row r="432">
      <c r="A432" s="78" t="str">
        <f>'Active and Pre-IPO SPACs'!A433</f>
        <v>KLAQ</v>
      </c>
      <c r="B432" s="95" t="str">
        <f>'Active and Pre-IPO SPACs'!B433</f>
        <v>KL Acquisition Corp</v>
      </c>
      <c r="C432" s="95" t="str">
        <f>'Active and Pre-IPO SPACs'!C433</f>
        <v>Searching</v>
      </c>
      <c r="D432" s="101" t="str">
        <f>'Active and Pre-IPO SPACs'!D433</f>
        <v>Healthcare</v>
      </c>
      <c r="E432" s="96" t="str">
        <f>'Active and Pre-IPO SPACs'!E433</f>
        <v/>
      </c>
      <c r="F432" s="97" t="str">
        <f>'Active and Pre-IPO SPACs'!F433</f>
        <v/>
      </c>
      <c r="G432" s="98">
        <f>'Active and Pre-IPO SPACs'!P433</f>
        <v>44203</v>
      </c>
      <c r="H432" s="99">
        <f>'Active and Pre-IPO SPACs'!Q433</f>
        <v>287.5</v>
      </c>
      <c r="I432" s="100" t="str">
        <f>'Active and Pre-IPO SPACs'!M433</f>
        <v>U: [1/3 W]; W: [1:1, $11.5]</v>
      </c>
    </row>
    <row r="433">
      <c r="A433" s="78" t="str">
        <f>'Active and Pre-IPO SPACs'!A434</f>
        <v>KRNL</v>
      </c>
      <c r="B433" s="95" t="str">
        <f>'Active and Pre-IPO SPACs'!B434</f>
        <v>Kernel Group Holdings, Inc.</v>
      </c>
      <c r="C433" s="95" t="str">
        <f>'Active and Pre-IPO SPACs'!C434</f>
        <v>Searching</v>
      </c>
      <c r="D433" s="101" t="str">
        <f>'Active and Pre-IPO SPACs'!D434</f>
        <v>Commerce Enablement, Supply Chain, Logistics and related Technology Infrastructure</v>
      </c>
      <c r="E433" s="96" t="str">
        <f>'Active and Pre-IPO SPACs'!E434</f>
        <v/>
      </c>
      <c r="F433" s="97" t="str">
        <f>'Active and Pre-IPO SPACs'!F434</f>
        <v>Mark Gross (Fmr CEO, Supervalu), Vivek Paul (Fmr CEO, Wipro Technologies), Ron Meyer (Fmr COO, Universal Studios; Fmr Vice Chairman, NBCUniversal)</v>
      </c>
      <c r="G433" s="98">
        <f>'Active and Pre-IPO SPACs'!P434</f>
        <v>44229</v>
      </c>
      <c r="H433" s="99">
        <f>'Active and Pre-IPO SPACs'!Q434</f>
        <v>304.75</v>
      </c>
      <c r="I433" s="100" t="str">
        <f>'Active and Pre-IPO SPACs'!M434</f>
        <v>U: [1/2 W]; W: [1:1, $11.5]</v>
      </c>
    </row>
    <row r="434">
      <c r="A434" s="78" t="str">
        <f>'Active and Pre-IPO SPACs'!A435</f>
        <v>KSI</v>
      </c>
      <c r="B434" s="95" t="str">
        <f>'Active and Pre-IPO SPACs'!B435</f>
        <v>Kadem Sustainable Impact Corp</v>
      </c>
      <c r="C434" s="95" t="str">
        <f>'Active and Pre-IPO SPACs'!C435</f>
        <v>Searching (Pre Unit Split)</v>
      </c>
      <c r="D434" s="101" t="str">
        <f>'Active and Pre-IPO SPACs'!D435</f>
        <v>E.V., Energy storage &amp; distribution, mobility tech, Sustainability</v>
      </c>
      <c r="E434" s="96" t="str">
        <f>'Active and Pre-IPO SPACs'!E435</f>
        <v/>
      </c>
      <c r="F434" s="97" t="str">
        <f>'Active and Pre-IPO SPACs'!F435</f>
        <v>Ray Maybus (Former US Secretary of the Navy; Director, Hilton Worldwide)</v>
      </c>
      <c r="G434" s="98">
        <f>'Active and Pre-IPO SPACs'!P435</f>
        <v>44271</v>
      </c>
      <c r="H434" s="99">
        <f>'Active and Pre-IPO SPACs'!Q435</f>
        <v>175</v>
      </c>
      <c r="I434" s="95" t="str">
        <f>'Active and Pre-IPO SPACs'!M435</f>
        <v>U: [1/2 W]; W: [1:1, $11.5]</v>
      </c>
    </row>
    <row r="435">
      <c r="A435" s="78" t="str">
        <f>'Active and Pre-IPO SPACs'!A436</f>
        <v>KSMT</v>
      </c>
      <c r="B435" s="95" t="str">
        <f>'Active and Pre-IPO SPACs'!B436</f>
        <v>Kismet Acquisition One Corp</v>
      </c>
      <c r="C435" s="95" t="str">
        <f>'Active and Pre-IPO SPACs'!C436</f>
        <v>Definitive Agreement</v>
      </c>
      <c r="D435" s="91" t="str">
        <f>'Active and Pre-IPO SPACs'!D436</f>
        <v>Russia</v>
      </c>
      <c r="E435" s="96" t="str">
        <f>'Active and Pre-IPO SPACs'!E436</f>
        <v>Nexters Global [DA: 02/01/21]</v>
      </c>
      <c r="F435" s="97" t="str">
        <f>'Active and Pre-IPO SPACs'!F436</f>
        <v/>
      </c>
      <c r="G435" s="98">
        <f>'Active and Pre-IPO SPACs'!P436</f>
        <v>44048</v>
      </c>
      <c r="H435" s="99">
        <f>'Active and Pre-IPO SPACs'!Q436</f>
        <v>250</v>
      </c>
      <c r="I435" s="100" t="str">
        <f>'Active and Pre-IPO SPACs'!M436</f>
        <v>U: [1/2 W]; W: [1:1, $11.5]</v>
      </c>
    </row>
    <row r="436">
      <c r="A436" s="78" t="str">
        <f>'Active and Pre-IPO SPACs'!A437</f>
        <v>KURI</v>
      </c>
      <c r="B436" s="95" t="str">
        <f>'Active and Pre-IPO SPACs'!B437</f>
        <v>Alkuri Global Acquisition Corp.</v>
      </c>
      <c r="C436" s="95" t="str">
        <f>'Active and Pre-IPO SPACs'!C437</f>
        <v>Searching</v>
      </c>
      <c r="D436" s="91" t="str">
        <f>'Active and Pre-IPO SPACs'!D437</f>
        <v>Consumer Internet and Marketplaces, Healthtech, Fintech, Mobility</v>
      </c>
      <c r="E436" s="96" t="str">
        <f>'Active and Pre-IPO SPACs'!E437</f>
        <v/>
      </c>
      <c r="F436" s="97" t="str">
        <f>'Active and Pre-IPO SPACs'!F437</f>
        <v>Rich Williams (Fmr CEO, Groupon), Sultan Almaadeed (Founder, ENVST), Jonathan Huberman (CEO, SAQN/SAII)</v>
      </c>
      <c r="G436" s="98">
        <f>'Active and Pre-IPO SPACs'!P437</f>
        <v>44232</v>
      </c>
      <c r="H436" s="99">
        <f>'Active and Pre-IPO SPACs'!Q437</f>
        <v>345</v>
      </c>
      <c r="I436" s="100" t="str">
        <f>'Active and Pre-IPO SPACs'!M437</f>
        <v>U: [1/4 W]; W: [1:1, $11.5]</v>
      </c>
    </row>
    <row r="437">
      <c r="A437" s="78" t="str">
        <f>'Active and Pre-IPO SPACs'!A438</f>
        <v>KVSA</v>
      </c>
      <c r="B437" s="95" t="str">
        <f>'Active and Pre-IPO SPACs'!B438</f>
        <v>Khosla Ventures Acquisition Co.</v>
      </c>
      <c r="C437" s="95" t="str">
        <f>'Active and Pre-IPO SPACs'!C438</f>
        <v>Searching</v>
      </c>
      <c r="D437" s="101" t="str">
        <f>'Active and Pre-IPO SPACs'!D438</f>
        <v>Tech (highly differentitated proprietary technology)</v>
      </c>
      <c r="E437" s="96" t="str">
        <f>'Active and Pre-IPO SPACs'!E438</f>
        <v/>
      </c>
      <c r="F437" s="97" t="str">
        <f>'Active and Pre-IPO SPACs'!F438</f>
        <v>Vinod Khosla (Founder, Khosla Ventures), Jagdeep Singh (Founder/Chairman/CEO, QuantumScape), Mario Schlosser (Founder/ CEO, Oscar Insurance)</v>
      </c>
      <c r="G437" s="98">
        <f>'Active and Pre-IPO SPACs'!P438</f>
        <v>44259</v>
      </c>
      <c r="H437" s="99">
        <f>'Active and Pre-IPO SPACs'!Q438</f>
        <v>345</v>
      </c>
      <c r="I437" s="100" t="str">
        <f>'Active and Pre-IPO SPACs'!M438</f>
        <v>U: [No units]; W: [No warrants]</v>
      </c>
    </row>
    <row r="438">
      <c r="A438" s="78" t="str">
        <f>'Active and Pre-IPO SPACs'!A439</f>
        <v>KVSB</v>
      </c>
      <c r="B438" s="95" t="str">
        <f>'Active and Pre-IPO SPACs'!B439</f>
        <v>Khosla Ventures Acquisition Co. II</v>
      </c>
      <c r="C438" s="95" t="str">
        <f>'Active and Pre-IPO SPACs'!C439</f>
        <v>Searching</v>
      </c>
      <c r="D438" s="101" t="str">
        <f>'Active and Pre-IPO SPACs'!D439</f>
        <v>Tech (highly differentitated proprietary technology)</v>
      </c>
      <c r="E438" s="96" t="str">
        <f>'Active and Pre-IPO SPACs'!E439</f>
        <v/>
      </c>
      <c r="F438" s="97" t="str">
        <f>'Active and Pre-IPO SPACs'!F439</f>
        <v>Vinod Khosla (Founder, Khosla Ventures)</v>
      </c>
      <c r="G438" s="98">
        <f>'Active and Pre-IPO SPACs'!P439</f>
        <v>44279</v>
      </c>
      <c r="H438" s="99">
        <f>'Active and Pre-IPO SPACs'!Q439</f>
        <v>400</v>
      </c>
      <c r="I438" s="100" t="str">
        <f>'Active and Pre-IPO SPACs'!M439</f>
        <v>U: [No units]; W: [No warrants]</v>
      </c>
    </row>
    <row r="439">
      <c r="A439" s="78" t="str">
        <f>'Active and Pre-IPO SPACs'!A440</f>
        <v>KVSC</v>
      </c>
      <c r="B439" s="95" t="str">
        <f>'Active and Pre-IPO SPACs'!B440</f>
        <v>Khosla Ventures Acquisition Co. III</v>
      </c>
      <c r="C439" s="95" t="str">
        <f>'Active and Pre-IPO SPACs'!C440</f>
        <v>Searching</v>
      </c>
      <c r="D439" s="101" t="str">
        <f>'Active and Pre-IPO SPACs'!D440</f>
        <v>Tech (highly differentitated proprietary technology)</v>
      </c>
      <c r="E439" s="96" t="str">
        <f>'Active and Pre-IPO SPACs'!E440</f>
        <v/>
      </c>
      <c r="F439" s="97" t="str">
        <f>'Active and Pre-IPO SPACs'!F440</f>
        <v>Vinod Khosla (Founder, Khosla Ventures), Sara Clemens (COO, Twitch; Fmr COO, Pandora Media)</v>
      </c>
      <c r="G439" s="98">
        <f>'Active and Pre-IPO SPACs'!P440</f>
        <v>44279</v>
      </c>
      <c r="H439" s="99">
        <f>'Active and Pre-IPO SPACs'!Q440</f>
        <v>500</v>
      </c>
      <c r="I439" s="100" t="str">
        <f>'Active and Pre-IPO SPACs'!M440</f>
        <v>U: [No units]; W: [No warrants]</v>
      </c>
    </row>
    <row r="440">
      <c r="A440" s="78" t="str">
        <f>'Active and Pre-IPO SPACs'!A441</f>
        <v>KVSD</v>
      </c>
      <c r="B440" s="95" t="str">
        <f>'Active and Pre-IPO SPACs'!B441</f>
        <v>Khosla Ventures Acquisition Co. IV</v>
      </c>
      <c r="C440" s="95" t="str">
        <f>'Active and Pre-IPO SPACs'!C441</f>
        <v>Pre IPO</v>
      </c>
      <c r="D440" s="101" t="str">
        <f>'Active and Pre-IPO SPACs'!D441</f>
        <v>Tech (highly differentitated proprietary technology)</v>
      </c>
      <c r="E440" s="96" t="str">
        <f>'Active and Pre-IPO SPACs'!E441</f>
        <v/>
      </c>
      <c r="F440" s="97" t="str">
        <f>'Active and Pre-IPO SPACs'!F441</f>
        <v>Vinod Khosla (Founder, Khosla Ventures), Jagdeep Singh (Founder/Chairman/CEO, QuantumScape), Rajiv Shah (President of the Rockefeller Foundation)</v>
      </c>
      <c r="G440" s="98" t="str">
        <f>'Active and Pre-IPO SPACs'!P441</f>
        <v/>
      </c>
      <c r="H440" s="99">
        <f>'Active and Pre-IPO SPACs'!Q441</f>
        <v>200</v>
      </c>
      <c r="I440" s="100" t="str">
        <f>'Active and Pre-IPO SPACs'!M441</f>
        <v>U: [No Units]; W: [No Warrants]</v>
      </c>
    </row>
    <row r="441">
      <c r="A441" s="78" t="str">
        <f>'Active and Pre-IPO SPACs'!A442</f>
        <v>KWAC</v>
      </c>
      <c r="B441" s="95" t="str">
        <f>'Active and Pre-IPO SPACs'!B442</f>
        <v>Kingswood Acquisition Corp.</v>
      </c>
      <c r="C441" s="95" t="str">
        <f>'Active and Pre-IPO SPACs'!C442</f>
        <v>Searching</v>
      </c>
      <c r="D441" s="91" t="str">
        <f>'Active and Pre-IPO SPACs'!D442</f>
        <v>Financial Services (wealth management, financial advisory and investment management)</v>
      </c>
      <c r="E441" s="96" t="str">
        <f>'Active and Pre-IPO SPACs'!E442</f>
        <v>Lombard (LOI: Per Sky News 3/23/21]</v>
      </c>
      <c r="F441" s="97" t="str">
        <f>'Active and Pre-IPO SPACs'!F442</f>
        <v/>
      </c>
      <c r="G441" s="98">
        <f>'Active and Pre-IPO SPACs'!P442</f>
        <v>44155</v>
      </c>
      <c r="H441" s="99">
        <f>'Active and Pre-IPO SPACs'!Q442</f>
        <v>117.84855</v>
      </c>
      <c r="I441" s="100" t="str">
        <f>'Active and Pre-IPO SPACs'!M442</f>
        <v>U: [3/4 W]; W: [1:1, $11.5]</v>
      </c>
    </row>
    <row r="442">
      <c r="A442" s="78" t="str">
        <f>'Active and Pre-IPO SPACs'!A443</f>
        <v>LACQ</v>
      </c>
      <c r="B442" s="95" t="str">
        <f>'Active and Pre-IPO SPACs'!B443</f>
        <v>Leisure Acquisition Corp</v>
      </c>
      <c r="C442" s="95" t="str">
        <f>'Active and Pre-IPO SPACs'!C443</f>
        <v>Definitive Agreement</v>
      </c>
      <c r="D442" s="91" t="str">
        <f>'Active and Pre-IPO SPACs'!D443</f>
        <v>Gaming, Recreation, Travel, Lodging</v>
      </c>
      <c r="E442" s="96" t="str">
        <f>'Active and Pre-IPO SPACs'!E443</f>
        <v>Ensysce Biosciences [DA: 02/01/21]</v>
      </c>
      <c r="F442" s="97" t="str">
        <f>'Active and Pre-IPO SPACs'!F443</f>
        <v/>
      </c>
      <c r="G442" s="98">
        <f>'Active and Pre-IPO SPACs'!P443</f>
        <v>43070</v>
      </c>
      <c r="H442" s="99">
        <f>'Active and Pre-IPO SPACs'!Q443</f>
        <v>200</v>
      </c>
      <c r="I442" s="100" t="str">
        <f>'Active and Pre-IPO SPACs'!M443</f>
        <v>U: [1/2 W]; W: [1:1, $11.5]</v>
      </c>
    </row>
    <row r="443">
      <c r="A443" s="78" t="str">
        <f>'Active and Pre-IPO SPACs'!A444</f>
        <v>LATN</v>
      </c>
      <c r="B443" s="95" t="str">
        <f>'Active and Pre-IPO SPACs'!B444</f>
        <v>Union Acquisition Corp II</v>
      </c>
      <c r="C443" s="95" t="str">
        <f>'Active and Pre-IPO SPACs'!C444</f>
        <v>Definitive Agreement</v>
      </c>
      <c r="D443" s="91" t="str">
        <f>'Active and Pre-IPO SPACs'!D444</f>
        <v>Latin America</v>
      </c>
      <c r="E443" s="96" t="str">
        <f>'Active and Pre-IPO SPACs'!E444</f>
        <v>Procaps Group [DA: 03/31/21]</v>
      </c>
      <c r="F443" s="97" t="str">
        <f>'Active and Pre-IPO SPACs'!F444</f>
        <v/>
      </c>
      <c r="G443" s="98">
        <f>'Active and Pre-IPO SPACs'!P444</f>
        <v>43756</v>
      </c>
      <c r="H443" s="99">
        <f>'Active and Pre-IPO SPACs'!Q444</f>
        <v>200</v>
      </c>
      <c r="I443" s="100" t="str">
        <f>'Active and Pre-IPO SPACs'!M444</f>
        <v>U: [1 W]; W: [1:1, $11.5]</v>
      </c>
    </row>
    <row r="444">
      <c r="A444" s="78" t="str">
        <f>'Active and Pre-IPO SPACs'!A445</f>
        <v>LCA</v>
      </c>
      <c r="B444" s="95" t="str">
        <f>'Active and Pre-IPO SPACs'!B445</f>
        <v>Landcadia Holdings IV, Inc.</v>
      </c>
      <c r="C444" s="95" t="str">
        <f>'Active and Pre-IPO SPACs'!C445</f>
        <v>Searching (Pre Unit Split)</v>
      </c>
      <c r="D444" s="101" t="str">
        <f>'Active and Pre-IPO SPACs'!D445</f>
        <v>Consumer, Dining, Hospitality, Entertainment, Gaming</v>
      </c>
      <c r="E444" s="96" t="str">
        <f>'Active and Pre-IPO SPACs'!E445</f>
        <v/>
      </c>
      <c r="F444" s="97" t="str">
        <f>'Active and Pre-IPO SPACs'!F445</f>
        <v>Tilman Fertitta (Houston Rockets owner, CEO of Landry's)</v>
      </c>
      <c r="G444" s="98">
        <f>'Active and Pre-IPO SPACs'!P445</f>
        <v>44279</v>
      </c>
      <c r="H444" s="99">
        <f>'Active and Pre-IPO SPACs'!Q445</f>
        <v>500</v>
      </c>
      <c r="I444" s="100" t="str">
        <f>'Active and Pre-IPO SPACs'!M445</f>
        <v>U: [1/4 W]; W: [1:1, $11.5]</v>
      </c>
    </row>
    <row r="445">
      <c r="A445" s="78" t="str">
        <f>'Active and Pre-IPO SPACs'!A446</f>
        <v>LCAA</v>
      </c>
      <c r="B445" s="95" t="str">
        <f>'Active and Pre-IPO SPACs'!B446</f>
        <v>L Catterton Asia Acquisition Corp</v>
      </c>
      <c r="C445" s="95" t="str">
        <f>'Active and Pre-IPO SPACs'!C446</f>
        <v>Searching (Pre Unit Split)</v>
      </c>
      <c r="D445" s="101" t="str">
        <f>'Active and Pre-IPO SPACs'!D446</f>
        <v>Consumer Tech in Asia</v>
      </c>
      <c r="E445" s="96" t="str">
        <f>'Active and Pre-IPO SPACs'!E446</f>
        <v/>
      </c>
      <c r="F445" s="97" t="str">
        <f>'Active and Pre-IPO SPACs'!F446</f>
        <v>Chinta Bhagat (Co-head and CEO of L Catterton Asia), Scott Chen (Co-head and CIO of L Catterton Asia), John Sculley (Former CEO of Apple and Former CEO of Pepsi-Cola)</v>
      </c>
      <c r="G445" s="98">
        <f>'Active and Pre-IPO SPACs'!P446</f>
        <v>44265</v>
      </c>
      <c r="H445" s="99">
        <f>'Active and Pre-IPO SPACs'!Q446</f>
        <v>250</v>
      </c>
      <c r="I445" s="100" t="str">
        <f>'Active and Pre-IPO SPACs'!M446</f>
        <v>U: [1/3 W]; W: [1:1, $11.5]</v>
      </c>
    </row>
    <row r="446">
      <c r="A446" s="78" t="str">
        <f>'Active and Pre-IPO SPACs'!A447</f>
        <v>LCAP</v>
      </c>
      <c r="B446" s="95" t="str">
        <f>'Active and Pre-IPO SPACs'!B447</f>
        <v>Lionheart Acquisition Corp. II</v>
      </c>
      <c r="C446" s="95" t="str">
        <f>'Active and Pre-IPO SPACs'!C447</f>
        <v>Searching</v>
      </c>
      <c r="D446" s="91" t="str">
        <f>'Active and Pre-IPO SPACs'!D447</f>
        <v>PropTech</v>
      </c>
      <c r="E446" s="96" t="str">
        <f>'Active and Pre-IPO SPACs'!E447</f>
        <v/>
      </c>
      <c r="F446" s="97" t="str">
        <f>'Active and Pre-IPO SPACs'!F447</f>
        <v>Ophir Sternberg (Chairman, OPES Acquisition Corp.)</v>
      </c>
      <c r="G446" s="98">
        <f>'Active and Pre-IPO SPACs'!P447</f>
        <v>44056</v>
      </c>
      <c r="H446" s="99">
        <f>'Active and Pre-IPO SPACs'!Q447</f>
        <v>230</v>
      </c>
      <c r="I446" s="100" t="str">
        <f>'Active and Pre-IPO SPACs'!M447</f>
        <v>U: [1/2 W]; W: [1:1, $11.5]</v>
      </c>
    </row>
    <row r="447">
      <c r="A447" s="78" t="str">
        <f>'Active and Pre-IPO SPACs'!A448</f>
        <v>LCP</v>
      </c>
      <c r="B447" s="95" t="str">
        <f>'Active and Pre-IPO SPACs'!B448</f>
        <v>LCP Acquisition Corp.
</v>
      </c>
      <c r="C447" s="95" t="str">
        <f>'Active and Pre-IPO SPACs'!C448</f>
        <v>Pre IPO</v>
      </c>
      <c r="D447" s="91" t="str">
        <f>'Active and Pre-IPO SPACs'!D448</f>
        <v>Travel, Leisure &amp; Hospitality</v>
      </c>
      <c r="E447" s="96" t="str">
        <f>'Active and Pre-IPO SPACs'!E448</f>
        <v/>
      </c>
      <c r="F447" s="97" t="str">
        <f>'Active and Pre-IPO SPACs'!F448</f>
        <v>Steven Goldman (Fmr CEO, FelCor Lodging Trust and Sunstone Hotel Investors), Robert Roskind (Founder, Lexington Realty Trust)</v>
      </c>
      <c r="G447" s="98" t="str">
        <f>'Active and Pre-IPO SPACs'!P448</f>
        <v/>
      </c>
      <c r="H447" s="99">
        <f>'Active and Pre-IPO SPACs'!Q448</f>
        <v>200</v>
      </c>
      <c r="I447" s="100" t="str">
        <f>'Active and Pre-IPO SPACs'!M448</f>
        <v>U: [1/2 W]; W: [1:1, $11.5]</v>
      </c>
    </row>
    <row r="448">
      <c r="A448" s="78" t="str">
        <f>'Active and Pre-IPO SPACs'!A449</f>
        <v>LCW</v>
      </c>
      <c r="B448" s="95" t="str">
        <f>'Active and Pre-IPO SPACs'!B449</f>
        <v>Learn CW Investment Corp</v>
      </c>
      <c r="C448" s="95" t="str">
        <f>'Active and Pre-IPO SPACs'!C449</f>
        <v>Pre IPO</v>
      </c>
      <c r="D448" s="91" t="str">
        <f>'Active and Pre-IPO SPACs'!D449</f>
        <v/>
      </c>
      <c r="E448" s="96" t="str">
        <f>'Active and Pre-IPO SPACs'!E449</f>
        <v/>
      </c>
      <c r="F448" s="97" t="str">
        <f>'Active and Pre-IPO SPACs'!F449</f>
        <v/>
      </c>
      <c r="G448" s="98" t="str">
        <f>'Active and Pre-IPO SPACs'!P449</f>
        <v/>
      </c>
      <c r="H448" s="99">
        <f>'Active and Pre-IPO SPACs'!Q449</f>
        <v>250</v>
      </c>
      <c r="I448" s="100" t="str">
        <f>'Active and Pre-IPO SPACs'!M449</f>
        <v>U: [1/3 W]; W: [1:1, $11.5]</v>
      </c>
    </row>
    <row r="449">
      <c r="A449" s="78" t="str">
        <f>'Active and Pre-IPO SPACs'!A450</f>
        <v>LCY</v>
      </c>
      <c r="B449" s="95" t="str">
        <f>'Active and Pre-IPO SPACs'!B450</f>
        <v>Landcadia Holdings III, Inc.​</v>
      </c>
      <c r="C449" s="95" t="str">
        <f>'Active and Pre-IPO SPACs'!C450</f>
        <v>Definitive Agreement</v>
      </c>
      <c r="D449" s="91" t="str">
        <f>'Active and Pre-IPO SPACs'!D450</f>
        <v>Consumer, Dining, Hospitality, Entertainment, Gaming, Tech</v>
      </c>
      <c r="E449" s="96" t="str">
        <f>'Active and Pre-IPO SPACs'!E450</f>
        <v>Hillman Group [DA: 01/25/21]</v>
      </c>
      <c r="F449" s="97" t="str">
        <f>'Active and Pre-IPO SPACs'!F450</f>
        <v>Tilman Fertitta (Houston Rockets owner, CEO of Landry's)</v>
      </c>
      <c r="G449" s="98">
        <f>'Active and Pre-IPO SPACs'!P450</f>
        <v>44112</v>
      </c>
      <c r="H449" s="99">
        <f>'Active and Pre-IPO SPACs'!Q450</f>
        <v>500</v>
      </c>
      <c r="I449" s="100" t="str">
        <f>'Active and Pre-IPO SPACs'!M450</f>
        <v>U: [1/3 W]; W: [1:1, $11.5]</v>
      </c>
    </row>
    <row r="450">
      <c r="A450" s="78" t="str">
        <f>'Active and Pre-IPO SPACs'!A451</f>
        <v>LDHA</v>
      </c>
      <c r="B450" s="95" t="str">
        <f>'Active and Pre-IPO SPACs'!B451</f>
        <v>LDH Growth Corp I</v>
      </c>
      <c r="C450" s="95" t="str">
        <f>'Active and Pre-IPO SPACs'!C451</f>
        <v>Searching (Pre Unit Split)</v>
      </c>
      <c r="D450" s="91" t="str">
        <f>'Active and Pre-IPO SPACs'!D451</f>
        <v>Tech, IoT, Artificial Intelligence, Latin America</v>
      </c>
      <c r="E450" s="96" t="str">
        <f>'Active and Pre-IPO SPACs'!E451</f>
        <v/>
      </c>
      <c r="F450" s="97" t="str">
        <f>'Active and Pre-IPO SPACs'!F451</f>
        <v>SoftBank Group, Marcelo Claure (President/COO, SoftBank Group; Chairman, Fortress Investment Group; Exec Chairman, WeWork; Fmr CEO, Sprint; Founder/Fmr CEO, Brightstar), Michael Combes (Pres, SoftBank Group International; Fmr CEO, Sprint; Fmr CEO, Alcatel-Lucent)</v>
      </c>
      <c r="G450" s="98">
        <f>'Active and Pre-IPO SPACs'!P451</f>
        <v>44273</v>
      </c>
      <c r="H450" s="99">
        <f>'Active and Pre-IPO SPACs'!Q451</f>
        <v>230</v>
      </c>
      <c r="I450" s="100" t="str">
        <f>'Active and Pre-IPO SPACs'!M451</f>
        <v>U: [1/5 W]; W: [1:1, $11.5]</v>
      </c>
    </row>
    <row r="451">
      <c r="A451" s="78" t="str">
        <f>'Active and Pre-IPO SPACs'!A452</f>
        <v>LEAP</v>
      </c>
      <c r="B451" s="95" t="str">
        <f>'Active and Pre-IPO SPACs'!B452</f>
        <v>Ribbit LEAP, Ltd.</v>
      </c>
      <c r="C451" s="95" t="str">
        <f>'Active and Pre-IPO SPACs'!C452</f>
        <v>Searching</v>
      </c>
      <c r="D451" s="91" t="str">
        <f>'Active and Pre-IPO SPACs'!D452</f>
        <v>Fintech</v>
      </c>
      <c r="E451" s="96" t="str">
        <f>'Active and Pre-IPO SPACs'!E452</f>
        <v/>
      </c>
      <c r="F451" s="97" t="str">
        <f>'Active and Pre-IPO SPACs'!F452</f>
        <v>Meyer Malka, Founder of Ribbit Capital (VC firm invested in Robinhood, Coinbase, Brex)</v>
      </c>
      <c r="G451" s="98">
        <f>'Active and Pre-IPO SPACs'!P452</f>
        <v>44085</v>
      </c>
      <c r="H451" s="99">
        <f>'Active and Pre-IPO SPACs'!Q452</f>
        <v>402.5</v>
      </c>
      <c r="I451" s="100" t="str">
        <f>'Active and Pre-IPO SPACs'!M452</f>
        <v>U: [1/5 W]; W: [1:1, $11.5]</v>
      </c>
    </row>
    <row r="452">
      <c r="A452" s="78" t="str">
        <f>'Active and Pre-IPO SPACs'!A453</f>
        <v>LEGA</v>
      </c>
      <c r="B452" s="95" t="str">
        <f>'Active and Pre-IPO SPACs'!B453</f>
        <v>Lead Edge Growth Opportunities, Ltd</v>
      </c>
      <c r="C452" s="95" t="str">
        <f>'Active and Pre-IPO SPACs'!C453</f>
        <v>Searching (Pre Unit Split)</v>
      </c>
      <c r="D452" s="101" t="str">
        <f>'Active and Pre-IPO SPACs'!D453</f>
        <v>Software, Internet, Tech</v>
      </c>
      <c r="E452" s="96" t="str">
        <f>'Active and Pre-IPO SPACs'!E453</f>
        <v/>
      </c>
      <c r="F452" s="97" t="str">
        <f>'Active and Pre-IPO SPACs'!F453</f>
        <v>Mitchell Green (Founder &amp; GP of Lead Edge), Meg Whitman (Former CEO of HP, Former CEO of eBay, Former CEO of Quibi, and Director of Procter &amp; Gamble)</v>
      </c>
      <c r="G452" s="98">
        <f>'Active and Pre-IPO SPACs'!P453</f>
        <v>44277</v>
      </c>
      <c r="H452" s="99">
        <f>'Active and Pre-IPO SPACs'!Q453</f>
        <v>300</v>
      </c>
      <c r="I452" s="100" t="str">
        <f>'Active and Pre-IPO SPACs'!M453</f>
        <v>U: [1/4 W]; W: [1:1, $11.5]</v>
      </c>
    </row>
    <row r="453">
      <c r="A453" s="78" t="str">
        <f>'Active and Pre-IPO SPACs'!A454</f>
        <v>LEGO</v>
      </c>
      <c r="B453" s="95" t="str">
        <f>'Active and Pre-IPO SPACs'!B454</f>
        <v>Legato Merger Corp.</v>
      </c>
      <c r="C453" s="95" t="str">
        <f>'Active and Pre-IPO SPACs'!C454</f>
        <v>Searching</v>
      </c>
      <c r="D453" s="91" t="str">
        <f>'Active and Pre-IPO SPACs'!D454</f>
        <v>Renewables, Infrastructure, Energy, Construction, Industrial</v>
      </c>
      <c r="E453" s="96" t="str">
        <f>'Active and Pre-IPO SPACs'!E454</f>
        <v/>
      </c>
      <c r="F453" s="97" t="str">
        <f>'Active and Pre-IPO SPACs'!F454</f>
        <v>Eric Rosenfeld (Fmr CEO, Allegro Merger Corp; CEO, Crescendo Partners)</v>
      </c>
      <c r="G453" s="98">
        <f>'Active and Pre-IPO SPACs'!P454</f>
        <v>44215</v>
      </c>
      <c r="H453" s="99">
        <f>'Active and Pre-IPO SPACs'!Q454</f>
        <v>205</v>
      </c>
      <c r="I453" s="100" t="str">
        <f>'Active and Pre-IPO SPACs'!M454</f>
        <v>U: [1 W]; W: [1:1, $11.5]</v>
      </c>
    </row>
    <row r="454">
      <c r="A454" s="78" t="str">
        <f>'Active and Pre-IPO SPACs'!A455</f>
        <v>LFTA</v>
      </c>
      <c r="B454" s="95" t="str">
        <f>'Active and Pre-IPO SPACs'!B455</f>
        <v>Lazard Fintech Acquisition Corp. I</v>
      </c>
      <c r="C454" s="95" t="str">
        <f>'Active and Pre-IPO SPACs'!C455</f>
        <v>Pre IPO</v>
      </c>
      <c r="D454" s="101" t="str">
        <f>'Active and Pre-IPO SPACs'!D455</f>
        <v>Fintech</v>
      </c>
      <c r="E454" s="96" t="str">
        <f>'Active and Pre-IPO SPACs'!E455</f>
        <v/>
      </c>
      <c r="F454" s="97" t="str">
        <f>'Active and Pre-IPO SPACs'!F455</f>
        <v/>
      </c>
      <c r="G454" s="98" t="str">
        <f>'Active and Pre-IPO SPACs'!P455</f>
        <v/>
      </c>
      <c r="H454" s="99">
        <f>'Active and Pre-IPO SPACs'!Q455</f>
        <v>250</v>
      </c>
      <c r="I454" s="100" t="str">
        <f>'Active and Pre-IPO SPACs'!M455</f>
        <v>U: [1/5 W]; W: [1:1, $11.5]</v>
      </c>
    </row>
    <row r="455">
      <c r="A455" s="78" t="str">
        <f>'Active and Pre-IPO SPACs'!A456</f>
        <v>LFTR</v>
      </c>
      <c r="B455" s="95" t="str">
        <f>'Active and Pre-IPO SPACs'!B456</f>
        <v>Lefteris Acquisition Corp.</v>
      </c>
      <c r="C455" s="95" t="str">
        <f>'Active and Pre-IPO SPACs'!C456</f>
        <v>Searching</v>
      </c>
      <c r="D455" s="91" t="str">
        <f>'Active and Pre-IPO SPACs'!D456</f>
        <v>Fintech</v>
      </c>
      <c r="E455" s="96" t="str">
        <f>'Active and Pre-IPO SPACs'!E456</f>
        <v/>
      </c>
      <c r="F455" s="97" t="str">
        <f>'Active and Pre-IPO SPACs'!F456</f>
        <v>Karl Roessner (Fmr CEO/Director, ETrade), Asiff Hirji (Fmr COO, Coinbase; Fmr COO TD Ameritrade)</v>
      </c>
      <c r="G455" s="98">
        <f>'Active and Pre-IPO SPACs'!P456</f>
        <v>44124</v>
      </c>
      <c r="H455" s="99">
        <f>'Active and Pre-IPO SPACs'!Q456</f>
        <v>207.09894</v>
      </c>
      <c r="I455" s="100" t="str">
        <f>'Active and Pre-IPO SPACs'!M456</f>
        <v>U: [1/3 W]; W: [1:1, $11.5]</v>
      </c>
    </row>
    <row r="456">
      <c r="A456" s="78" t="str">
        <f>'Active and Pre-IPO SPACs'!A457</f>
        <v>LGAC</v>
      </c>
      <c r="B456" s="95" t="str">
        <f>'Active and Pre-IPO SPACs'!B457</f>
        <v>Lazard Growth Acquisition Corp. I</v>
      </c>
      <c r="C456" s="95" t="str">
        <f>'Active and Pre-IPO SPACs'!C457</f>
        <v>Searching</v>
      </c>
      <c r="D456" s="91" t="str">
        <f>'Active and Pre-IPO SPACs'!D457</f>
        <v>Healthcare, Tech, Energy Transition, Financial, Consumer</v>
      </c>
      <c r="E456" s="96" t="str">
        <f>'Active and Pre-IPO SPACs'!E457</f>
        <v/>
      </c>
      <c r="F456" s="97" t="str">
        <f>'Active and Pre-IPO SPACs'!F457</f>
        <v>Lazard</v>
      </c>
      <c r="G456" s="98">
        <f>'Active and Pre-IPO SPACs'!P457</f>
        <v>44236</v>
      </c>
      <c r="H456" s="99">
        <f>'Active and Pre-IPO SPACs'!Q457</f>
        <v>575</v>
      </c>
      <c r="I456" s="100" t="str">
        <f>'Active and Pre-IPO SPACs'!M457</f>
        <v>U: [1/5 W]; W: [1:1, $11.5]</v>
      </c>
    </row>
    <row r="457">
      <c r="A457" s="78" t="str">
        <f>'Active and Pre-IPO SPACs'!A458</f>
        <v>LGV</v>
      </c>
      <c r="B457" s="95" t="str">
        <f>'Active and Pre-IPO SPACs'!B458</f>
        <v>Longview Acquisition Corp. II</v>
      </c>
      <c r="C457" s="95" t="str">
        <f>'Active and Pre-IPO SPACs'!C458</f>
        <v>Searching (Pre Unit Split)</v>
      </c>
      <c r="D457" s="91" t="str">
        <f>'Active and Pre-IPO SPACs'!D458</f>
        <v>Healthcare</v>
      </c>
      <c r="E457" s="96" t="str">
        <f>'Active and Pre-IPO SPACs'!E458</f>
        <v/>
      </c>
      <c r="F457" s="97" t="str">
        <f>'Active and Pre-IPO SPACs'!F458</f>
        <v>Larry Robbins (Founder/CEO, Glenview)</v>
      </c>
      <c r="G457" s="98">
        <f>'Active and Pre-IPO SPACs'!P458</f>
        <v>44274</v>
      </c>
      <c r="H457" s="99">
        <f>'Active and Pre-IPO SPACs'!Q458</f>
        <v>690</v>
      </c>
      <c r="I457" s="100" t="str">
        <f>'Active and Pre-IPO SPACs'!M458</f>
        <v>U: [1/5 W]; W: [1:1, $11.5]</v>
      </c>
    </row>
    <row r="458">
      <c r="A458" s="78" t="str">
        <f>'Active and Pre-IPO SPACs'!A459</f>
        <v>LHAA</v>
      </c>
      <c r="B458" s="95" t="str">
        <f>'Active and Pre-IPO SPACs'!B459</f>
        <v>Lerer Hippeau Acquisition Corp.</v>
      </c>
      <c r="C458" s="95" t="str">
        <f>'Active and Pre-IPO SPACs'!C459</f>
        <v>Searching</v>
      </c>
      <c r="D458" s="101" t="str">
        <f>'Active and Pre-IPO SPACs'!D459</f>
        <v>Tech</v>
      </c>
      <c r="E458" s="96" t="str">
        <f>'Active and Pre-IPO SPACs'!E459</f>
        <v/>
      </c>
      <c r="F458" s="97" t="str">
        <f>'Active and Pre-IPO SPACs'!F459</f>
        <v>Kenneth Lerer (Co-founder, The Huffington Post; Chairman, BLADE Urban Air; Director, Group Nine Media; Fmr Chairman, BuzzFeed; Fmr Director, Viacom), Eric Hippeau (Fmr CEO, The Huffington Post; Fmr MP, SoftBank Capital; Director, BuzzFeed, Marriott; Fmr Director, Yahoo), Ben Lerer (CEO, Group Nine Media; Founder/Fmr CEO, Thrillist; Director, Casper Sleep), Arianna Huffington (Founder, The Huffington Post; Fmr Director, Uber)</v>
      </c>
      <c r="G458" s="98">
        <f>'Active and Pre-IPO SPACs'!P459</f>
        <v>44260</v>
      </c>
      <c r="H458" s="99">
        <f>'Active and Pre-IPO SPACs'!Q459</f>
        <v>222.66185</v>
      </c>
      <c r="I458" s="100" t="str">
        <f>'Active and Pre-IPO SPACs'!M459</f>
        <v>U: [No units]; W: [No warrants]</v>
      </c>
    </row>
    <row r="459">
      <c r="A459" s="78" t="str">
        <f>'Active and Pre-IPO SPACs'!A460</f>
        <v>LHC</v>
      </c>
      <c r="B459" s="95" t="str">
        <f>'Active and Pre-IPO SPACs'!B460</f>
        <v>Leo Holdings Corp. II</v>
      </c>
      <c r="C459" s="95" t="str">
        <f>'Active and Pre-IPO SPACs'!C460</f>
        <v>Searching</v>
      </c>
      <c r="D459" s="91" t="str">
        <f>'Active and Pre-IPO SPACs'!D460</f>
        <v>Consumer</v>
      </c>
      <c r="E459" s="96" t="str">
        <f>'Active and Pre-IPO SPACs'!E460</f>
        <v/>
      </c>
      <c r="F459" s="97" t="str">
        <f>'Active and Pre-IPO SPACs'!F460</f>
        <v>Ed Forst (Fmr CEO, Cushman &amp; Wakefield), Lori Bush (Fmr CEO, Rodan + Fields)</v>
      </c>
      <c r="G459" s="98">
        <f>'Active and Pre-IPO SPACs'!P460</f>
        <v>44204</v>
      </c>
      <c r="H459" s="99">
        <f>'Active and Pre-IPO SPACs'!Q460</f>
        <v>375</v>
      </c>
      <c r="I459" s="100" t="str">
        <f>'Active and Pre-IPO SPACs'!M460</f>
        <v>U: [1/4 W]; W: [1:1, $11.5]</v>
      </c>
    </row>
    <row r="460">
      <c r="A460" s="78" t="str">
        <f>'Active and Pre-IPO SPACs'!A461</f>
        <v>LHCA</v>
      </c>
      <c r="B460" s="95" t="str">
        <f>'Active and Pre-IPO SPACs'!B461</f>
        <v>Lazard Healthcare Acquisition Corp. I</v>
      </c>
      <c r="C460" s="95" t="str">
        <f>'Active and Pre-IPO SPACs'!C461</f>
        <v>Pre IPO</v>
      </c>
      <c r="D460" s="101" t="str">
        <f>'Active and Pre-IPO SPACs'!D461</f>
        <v>Healthcare Tech</v>
      </c>
      <c r="E460" s="96" t="str">
        <f>'Active and Pre-IPO SPACs'!E461</f>
        <v/>
      </c>
      <c r="F460" s="97" t="str">
        <f>'Active and Pre-IPO SPACs'!F461</f>
        <v/>
      </c>
      <c r="G460" s="98" t="str">
        <f>'Active and Pre-IPO SPACs'!P461</f>
        <v/>
      </c>
      <c r="H460" s="99">
        <f>'Active and Pre-IPO SPACs'!Q461</f>
        <v>250</v>
      </c>
      <c r="I460" s="100" t="str">
        <f>'Active and Pre-IPO SPACs'!M461</f>
        <v>U: [1/5 W]; W: [1:1, $11.5]</v>
      </c>
    </row>
    <row r="461">
      <c r="A461" s="78" t="str">
        <f>'Active and Pre-IPO SPACs'!A462</f>
        <v>LHIV</v>
      </c>
      <c r="B461" s="95" t="str">
        <f>'Active and Pre-IPO SPACs'!B462</f>
        <v>Lionheart IV Corp</v>
      </c>
      <c r="C461" s="95" t="str">
        <f>'Active and Pre-IPO SPACs'!C462</f>
        <v>Pre IPO</v>
      </c>
      <c r="D461" s="91" t="str">
        <f>'Active and Pre-IPO SPACs'!D462</f>
        <v/>
      </c>
      <c r="E461" s="96" t="str">
        <f>'Active and Pre-IPO SPACs'!E462</f>
        <v/>
      </c>
      <c r="F461" s="97" t="str">
        <f>'Active and Pre-IPO SPACs'!F462</f>
        <v>Ophir Sternberg (Founder &amp; CEO of Lionheart Capital), Steven Berrard (Co-founder &amp; Former Co-CEO of AutoNation, Former CEO of Blockbuster, and Former Chairman &amp; CEO of Jamba)</v>
      </c>
      <c r="G461" s="98" t="str">
        <f>'Active and Pre-IPO SPACs'!P462</f>
        <v/>
      </c>
      <c r="H461" s="99">
        <f>'Active and Pre-IPO SPACs'!Q462</f>
        <v>250</v>
      </c>
      <c r="I461" s="100" t="str">
        <f>'Active and Pre-IPO SPACs'!M462</f>
        <v>U: [1/3 W]; W: [1:1, $11.5]</v>
      </c>
    </row>
    <row r="462">
      <c r="A462" s="78" t="str">
        <f>'Active and Pre-IPO SPACs'!A463</f>
        <v>LHRT</v>
      </c>
      <c r="B462" s="95" t="str">
        <f>'Active and Pre-IPO SPACs'!B463</f>
        <v>Lionheart III Corp</v>
      </c>
      <c r="C462" s="95" t="str">
        <f>'Active and Pre-IPO SPACs'!C463</f>
        <v>Pre IPO</v>
      </c>
      <c r="D462" s="91" t="str">
        <f>'Active and Pre-IPO SPACs'!D463</f>
        <v/>
      </c>
      <c r="E462" s="96" t="str">
        <f>'Active and Pre-IPO SPACs'!E463</f>
        <v/>
      </c>
      <c r="F462" s="97" t="str">
        <f>'Active and Pre-IPO SPACs'!F463</f>
        <v>Ophir Sternberg (Founder &amp; CEO of Lionheart Capital), Steven Berrard (Co-founder &amp; Former Co-CEO of AutoNation, Former CEO of Blockbuster, and Former Chairman &amp; CEO of Jamba)</v>
      </c>
      <c r="G462" s="98" t="str">
        <f>'Active and Pre-IPO SPACs'!P463</f>
        <v/>
      </c>
      <c r="H462" s="99">
        <f>'Active and Pre-IPO SPACs'!Q463</f>
        <v>100</v>
      </c>
      <c r="I462" s="100" t="str">
        <f>'Active and Pre-IPO SPACs'!M463</f>
        <v>U: [1/3 W]; W: [1:1, $11.5]</v>
      </c>
    </row>
    <row r="463">
      <c r="A463" s="78" t="str">
        <f>'Active and Pre-IPO SPACs'!A464</f>
        <v>LIII</v>
      </c>
      <c r="B463" s="95" t="str">
        <f>'Active and Pre-IPO SPACs'!B464</f>
        <v>Leo Holdings III Corp</v>
      </c>
      <c r="C463" s="95" t="str">
        <f>'Active and Pre-IPO SPACs'!C464</f>
        <v>Searching (Pre Unit Split)</v>
      </c>
      <c r="D463" s="91" t="str">
        <f>'Active and Pre-IPO SPACs'!D464</f>
        <v>Consumer</v>
      </c>
      <c r="E463" s="96" t="str">
        <f>'Active and Pre-IPO SPACs'!E464</f>
        <v/>
      </c>
      <c r="F463" s="97" t="str">
        <f>'Active and Pre-IPO SPACs'!F464</f>
        <v>Lyndon Lea (Founder/MP, Lion Capital), Ed Forst (Fmr CEO, Cushman &amp; Wakefield; Fmr CEO, Realty Shares), Lori Bush (Fmr CEO, Rodan + Fields)</v>
      </c>
      <c r="G463" s="98">
        <f>'Active and Pre-IPO SPACs'!P464</f>
        <v>44253</v>
      </c>
      <c r="H463" s="99">
        <f>'Active and Pre-IPO SPACs'!Q464</f>
        <v>275</v>
      </c>
      <c r="I463" s="100" t="str">
        <f>'Active and Pre-IPO SPACs'!M464</f>
        <v>U: [1/5 W]; W: [1:1, $11.5]</v>
      </c>
    </row>
    <row r="464">
      <c r="A464" s="78" t="str">
        <f>'Active and Pre-IPO SPACs'!A465</f>
        <v>LITT</v>
      </c>
      <c r="B464" s="95" t="str">
        <f>'Active and Pre-IPO SPACs'!B465</f>
        <v>Logistics Innovation Technologies Corp.</v>
      </c>
      <c r="C464" s="95" t="str">
        <f>'Active and Pre-IPO SPACs'!C465</f>
        <v>Pre IPO</v>
      </c>
      <c r="D464" s="101" t="str">
        <f>'Active and Pre-IPO SPACs'!D465</f>
        <v>Logistics Tech (Logtech), Logistics</v>
      </c>
      <c r="E464" s="96" t="str">
        <f>'Active and Pre-IPO SPACs'!E465</f>
        <v/>
      </c>
      <c r="F464" s="97" t="str">
        <f>'Active and Pre-IPO SPACs'!F465</f>
        <v>Alan Gershenhorn (Fmr EVP &amp; CCO, UPS; Advisor, 8VC), Isaac “Yitz” Applbaum (Co-founder/Partner, MizMaa Ventures; Fmr Partner, Lightspeed Ventures; Advisor, 8VC), Bruno Sidler (Fmr CEO, Panalpina; Fmr COO, CEVA Logistics), Chris Sultemeier (Fmr CEO, Walmart Transportation), Andrew Clarke (Fmr CFO, C.H. Robinson), Jake Medwell (Founding Partner, 8VC)</v>
      </c>
      <c r="G464" s="98" t="str">
        <f>'Active and Pre-IPO SPACs'!P465</f>
        <v/>
      </c>
      <c r="H464" s="99">
        <f>'Active and Pre-IPO SPACs'!Q465</f>
        <v>350</v>
      </c>
      <c r="I464" s="100" t="str">
        <f>'Active and Pre-IPO SPACs'!M465</f>
        <v>U: [1/3 W]; W: [1:1, $11.5]</v>
      </c>
    </row>
    <row r="465">
      <c r="A465" s="78" t="str">
        <f>'Active and Pre-IPO SPACs'!A466</f>
        <v>LIVK</v>
      </c>
      <c r="B465" s="95" t="str">
        <f>'Active and Pre-IPO SPACs'!B466</f>
        <v>LIV Capital Acquisition</v>
      </c>
      <c r="C465" s="95" t="str">
        <f>'Active and Pre-IPO SPACs'!C466</f>
        <v>Searching</v>
      </c>
      <c r="D465" s="91" t="str">
        <f>'Active and Pre-IPO SPACs'!D466</f>
        <v>Mexico</v>
      </c>
      <c r="E465" s="96" t="str">
        <f>'Active and Pre-IPO SPACs'!E466</f>
        <v/>
      </c>
      <c r="F465" s="97" t="str">
        <f>'Active and Pre-IPO SPACs'!F466</f>
        <v/>
      </c>
      <c r="G465" s="98">
        <f>'Active and Pre-IPO SPACs'!P466</f>
        <v>43809</v>
      </c>
      <c r="H465" s="99">
        <f>'Active and Pre-IPO SPACs'!Q466</f>
        <v>80.5</v>
      </c>
      <c r="I465" s="100" t="str">
        <f>'Active and Pre-IPO SPACs'!M466</f>
        <v>U: [1 W]; W: [1:1, $11.5]</v>
      </c>
    </row>
    <row r="466">
      <c r="A466" s="78" t="str">
        <f>'Active and Pre-IPO SPACs'!A467</f>
        <v>LJAQ</v>
      </c>
      <c r="B466" s="95" t="str">
        <f>'Active and Pre-IPO SPACs'!B467</f>
        <v>LightJump Acquisition Corporation</v>
      </c>
      <c r="C466" s="95" t="str">
        <f>'Active and Pre-IPO SPACs'!C467</f>
        <v>Searching</v>
      </c>
      <c r="D466" s="91" t="str">
        <f>'Active and Pre-IPO SPACs'!D467</f>
        <v>Tech, Software and Services</v>
      </c>
      <c r="E466" s="96" t="str">
        <f>'Active and Pre-IPO SPACs'!E467</f>
        <v/>
      </c>
      <c r="F466" s="97" t="str">
        <f>'Active and Pre-IPO SPACs'!F467</f>
        <v>James Keyes (Fmr CEO, Blockbuster; Fmr CEO, 7-Eleven)</v>
      </c>
      <c r="G466" s="98">
        <f>'Active and Pre-IPO SPACs'!P467</f>
        <v>44204</v>
      </c>
      <c r="H466" s="99">
        <f>'Active and Pre-IPO SPACs'!Q467</f>
        <v>138</v>
      </c>
      <c r="I466" s="100" t="str">
        <f>'Active and Pre-IPO SPACs'!M467</f>
        <v>U: [1/2 W]; W: [1:1, $11.5]</v>
      </c>
    </row>
    <row r="467">
      <c r="A467" s="78" t="str">
        <f>'Active and Pre-IPO SPACs'!A468</f>
        <v>LMACA</v>
      </c>
      <c r="B467" s="95" t="str">
        <f>'Active and Pre-IPO SPACs'!B468</f>
        <v>Liberty Media Acquisition Corporation</v>
      </c>
      <c r="C467" s="95" t="str">
        <f>'Active and Pre-IPO SPACs'!C468</f>
        <v>Searching</v>
      </c>
      <c r="D467" s="91" t="str">
        <f>'Active and Pre-IPO SPACs'!D468</f>
        <v>TMT, Music, Entertainment</v>
      </c>
      <c r="E467" s="96" t="str">
        <f>'Active and Pre-IPO SPACs'!E468</f>
        <v/>
      </c>
      <c r="F467" s="97" t="str">
        <f>'Active and Pre-IPO SPACs'!F468</f>
        <v>Greg Maffei (CEO, Liberty Media; Chairman of Live Nation, TripAdvisor; Fmr CFO Microsoft)
</v>
      </c>
      <c r="G467" s="98">
        <f>'Active and Pre-IPO SPACs'!P468</f>
        <v>44217</v>
      </c>
      <c r="H467" s="99">
        <f>'Active and Pre-IPO SPACs'!Q468</f>
        <v>575</v>
      </c>
      <c r="I467" s="100" t="str">
        <f>'Active and Pre-IPO SPACs'!M468</f>
        <v>U: [1/5 W]; W: [1:1, $11.5]</v>
      </c>
    </row>
    <row r="468">
      <c r="A468" s="78" t="str">
        <f>'Active and Pre-IPO SPACs'!A469</f>
        <v>LMAO</v>
      </c>
      <c r="B468" s="95" t="str">
        <f>'Active and Pre-IPO SPACs'!B469</f>
        <v>LMF Acquisition Opportunities, Inc.</v>
      </c>
      <c r="C468" s="95" t="str">
        <f>'Active and Pre-IPO SPACs'!C469</f>
        <v>Searching</v>
      </c>
      <c r="D468" s="91" t="str">
        <f>'Active and Pre-IPO SPACs'!D469</f>
        <v>Fintech, Financial Services</v>
      </c>
      <c r="E468" s="96" t="str">
        <f>'Active and Pre-IPO SPACs'!E469</f>
        <v/>
      </c>
      <c r="F468" s="97" t="str">
        <f>'Active and Pre-IPO SPACs'!F469</f>
        <v/>
      </c>
      <c r="G468" s="98">
        <f>'Active and Pre-IPO SPACs'!P469</f>
        <v>44221</v>
      </c>
      <c r="H468" s="99">
        <f>'Active and Pre-IPO SPACs'!Q469</f>
        <v>105.57</v>
      </c>
      <c r="I468" s="100" t="str">
        <f>'Active and Pre-IPO SPACs'!M469</f>
        <v>U: [1 W]; W: [1:1, $11.5]</v>
      </c>
    </row>
    <row r="469">
      <c r="A469" s="78" t="str">
        <f>'Active and Pre-IPO SPACs'!A470</f>
        <v>LNFA</v>
      </c>
      <c r="B469" s="95" t="str">
        <f>'Active and Pre-IPO SPACs'!B470</f>
        <v>L&amp;F Acquisition Corp.</v>
      </c>
      <c r="C469" s="95" t="str">
        <f>'Active and Pre-IPO SPACs'!C470</f>
        <v>Searching</v>
      </c>
      <c r="D469" s="91" t="str">
        <f>'Active and Pre-IPO SPACs'!D470</f>
        <v>Governance, Risk, and Compliance (“GRC”) and Legal Tech / Software</v>
      </c>
      <c r="E469" s="96" t="str">
        <f>'Active and Pre-IPO SPACs'!E470</f>
        <v/>
      </c>
      <c r="F469" s="97" t="str">
        <f>'Active and Pre-IPO SPACs'!F470</f>
        <v>Jeffrey Hammes (Chairman, Kirkland &amp; Ellis), Senator Joe Lieberman (US Senator from Connecticut; Democratic VP Nominee 2000)</v>
      </c>
      <c r="G469" s="98">
        <f>'Active and Pre-IPO SPACs'!P470</f>
        <v>44153</v>
      </c>
      <c r="H469" s="99">
        <f>'Active and Pre-IPO SPACs'!Q470</f>
        <v>175.0875</v>
      </c>
      <c r="I469" s="100" t="str">
        <f>'Active and Pre-IPO SPACs'!M470</f>
        <v>U: [1/2 W]; W: [1:1, $11.5]</v>
      </c>
    </row>
    <row r="470">
      <c r="A470" s="78" t="str">
        <f>'Active and Pre-IPO SPACs'!A471</f>
        <v>LOCC</v>
      </c>
      <c r="B470" s="95" t="str">
        <f>'Active and Pre-IPO SPACs'!B471</f>
        <v>Live Oak Crestview Climate Acquisition Corp.</v>
      </c>
      <c r="C470" s="95" t="str">
        <f>'Active and Pre-IPO SPACs'!C471</f>
        <v>Pre IPO</v>
      </c>
      <c r="D470" s="91" t="str">
        <f>'Active and Pre-IPO SPACs'!D471</f>
        <v>Climate &amp; Sustainability</v>
      </c>
      <c r="E470" s="96" t="str">
        <f>'Active and Pre-IPO SPACs'!E471</f>
        <v/>
      </c>
      <c r="F470" s="97" t="str">
        <f>'Active and Pre-IPO SPACs'!F471</f>
        <v/>
      </c>
      <c r="G470" s="98" t="str">
        <f>'Active and Pre-IPO SPACs'!P471</f>
        <v/>
      </c>
      <c r="H470" s="99">
        <f>'Active and Pre-IPO SPACs'!Q471</f>
        <v>250</v>
      </c>
      <c r="I470" s="100" t="str">
        <f>'Active and Pre-IPO SPACs'!M471</f>
        <v>U: [1/4 W]; W: [1:1, $11.5]</v>
      </c>
    </row>
    <row r="471">
      <c r="A471" s="78" t="str">
        <f>'Active and Pre-IPO SPACs'!A472</f>
        <v>LOKB</v>
      </c>
      <c r="B471" s="95" t="str">
        <f>'Active and Pre-IPO SPACs'!B472</f>
        <v>Live Oak Acquisition Corp. II</v>
      </c>
      <c r="C471" s="95" t="str">
        <f>'Active and Pre-IPO SPACs'!C472</f>
        <v>Searching</v>
      </c>
      <c r="D471" s="91" t="str">
        <f>'Active and Pre-IPO SPACs'!D472</f>
        <v/>
      </c>
      <c r="E471" s="96" t="str">
        <f>'Active and Pre-IPO SPACs'!E472</f>
        <v/>
      </c>
      <c r="F471" s="97" t="str">
        <f>'Active and Pre-IPO SPACs'!F472</f>
        <v/>
      </c>
      <c r="G471" s="98">
        <f>'Active and Pre-IPO SPACs'!P472</f>
        <v>44167</v>
      </c>
      <c r="H471" s="99">
        <f>'Active and Pre-IPO SPACs'!Q472</f>
        <v>253</v>
      </c>
      <c r="I471" s="100" t="str">
        <f>'Active and Pre-IPO SPACs'!M472</f>
        <v>U: [1/3 W]; W: [1:1, $11.5]</v>
      </c>
    </row>
    <row r="472">
      <c r="A472" s="78" t="str">
        <f>'Active and Pre-IPO SPACs'!A473</f>
        <v>LOKM</v>
      </c>
      <c r="B472" s="95" t="str">
        <f>'Active and Pre-IPO SPACs'!B473</f>
        <v>Live Oak Mobility Acquisition Corp.</v>
      </c>
      <c r="C472" s="95" t="str">
        <f>'Active and Pre-IPO SPACs'!C473</f>
        <v>Searching (Pre Unit Split)</v>
      </c>
      <c r="D472" s="91" t="str">
        <f>'Active and Pre-IPO SPACs'!D473</f>
        <v>Mobility and Motion Tech</v>
      </c>
      <c r="E472" s="96" t="str">
        <f>'Active and Pre-IPO SPACs'!E473</f>
        <v/>
      </c>
      <c r="F472" s="97" t="str">
        <f>'Active and Pre-IPO SPACs'!F473</f>
        <v>Richard Hendrix (Fmr CEO, FBR), Fritz Henderson (Fmr CEO, GM; Fmr CEO, SunCoke Energy)</v>
      </c>
      <c r="G472" s="98">
        <f>'Active and Pre-IPO SPACs'!P473</f>
        <v>44257</v>
      </c>
      <c r="H472" s="99">
        <f>'Active and Pre-IPO SPACs'!Q473</f>
        <v>253</v>
      </c>
      <c r="I472" s="100" t="str">
        <f>'Active and Pre-IPO SPACs'!M473</f>
        <v>U: [1/5 W]; W: [1:1, $11.5]</v>
      </c>
    </row>
    <row r="473">
      <c r="A473" s="78" t="str">
        <f>'Active and Pre-IPO SPACs'!A474</f>
        <v>LPC</v>
      </c>
      <c r="B473" s="95" t="str">
        <f>'Active and Pre-IPO SPACs'!B474</f>
        <v>Lamar Partnering Corp</v>
      </c>
      <c r="C473" s="95" t="str">
        <f>'Active and Pre-IPO SPACs'!C474</f>
        <v>Pre IPO</v>
      </c>
      <c r="D473" s="101" t="str">
        <f>'Active and Pre-IPO SPACs'!D474</f>
        <v>Digital media, advertising technology, international advertising, distributed energy and wireless communications infrastructure.</v>
      </c>
      <c r="E473" s="96" t="str">
        <f>'Active and Pre-IPO SPACs'!E474</f>
        <v/>
      </c>
      <c r="F473" s="97" t="str">
        <f>'Active and Pre-IPO SPACs'!F474</f>
        <v>Sean Reilly (CEO of Lamar), Barry Frey (CEO and Director of the DPAA)</v>
      </c>
      <c r="G473" s="98" t="str">
        <f>'Active and Pre-IPO SPACs'!P474</f>
        <v/>
      </c>
      <c r="H473" s="99">
        <f>'Active and Pre-IPO SPACs'!Q474</f>
        <v>300</v>
      </c>
      <c r="I473" s="100" t="str">
        <f>'Active and Pre-IPO SPACs'!M474</f>
        <v>U: [1/4 W]; W: [1:1, $11.5]</v>
      </c>
    </row>
    <row r="474">
      <c r="A474" s="78" t="str">
        <f>'Active and Pre-IPO SPACs'!A475</f>
        <v>LRIS</v>
      </c>
      <c r="B474" s="95" t="str">
        <f>'Active and Pre-IPO SPACs'!B475</f>
        <v>Laris Media Acquisition Corp</v>
      </c>
      <c r="C474" s="95" t="str">
        <f>'Active and Pre-IPO SPACs'!C475</f>
        <v>Pre IPO</v>
      </c>
      <c r="D474" s="101" t="str">
        <f>'Active and Pre-IPO SPACs'!D475</f>
        <v>Music and Audio</v>
      </c>
      <c r="E474" s="96" t="str">
        <f>'Active and Pre-IPO SPACs'!E475</f>
        <v/>
      </c>
      <c r="F474" s="97" t="str">
        <f>'Active and Pre-IPO SPACs'!F475</f>
        <v>Darren Throop (CEO of Entertainment One (“eOne”), and Director of IMAX Corporation), Simon Katz (Band member of Jamiroquai and Gorillaz, Senior A&amp;R executive at Republic Records, and Founder of Grand Central)</v>
      </c>
      <c r="G474" s="98" t="str">
        <f>'Active and Pre-IPO SPACs'!P475</f>
        <v/>
      </c>
      <c r="H474" s="99">
        <f>'Active and Pre-IPO SPACs'!Q475</f>
        <v>250</v>
      </c>
      <c r="I474" s="100" t="str">
        <f>'Active and Pre-IPO SPACs'!M475</f>
        <v>U: [1/3 W]; W: [1:1, $11.5]</v>
      </c>
    </row>
    <row r="475">
      <c r="A475" s="78" t="str">
        <f>'Active and Pre-IPO SPACs'!A476</f>
        <v>LSAQ</v>
      </c>
      <c r="B475" s="95" t="str">
        <f>'Active and Pre-IPO SPACs'!B476</f>
        <v>LifeSci Acquisition II Corp</v>
      </c>
      <c r="C475" s="95" t="str">
        <f>'Active and Pre-IPO SPACs'!C476</f>
        <v>Searching</v>
      </c>
      <c r="D475" s="91" t="str">
        <f>'Active and Pre-IPO SPACs'!D476</f>
        <v>Healthcare</v>
      </c>
      <c r="E475" s="96" t="str">
        <f>'Active and Pre-IPO SPACs'!E476</f>
        <v/>
      </c>
      <c r="F475" s="97" t="str">
        <f>'Active and Pre-IPO SPACs'!F476</f>
        <v/>
      </c>
      <c r="G475" s="98">
        <f>'Active and Pre-IPO SPACs'!P476</f>
        <v>44155</v>
      </c>
      <c r="H475" s="99">
        <f>'Active and Pre-IPO SPACs'!Q476</f>
        <v>80.09041</v>
      </c>
      <c r="I475" s="100" t="str">
        <f>'Active and Pre-IPO SPACs'!M476</f>
        <v>U: [No units]; W: [No warrants]</v>
      </c>
    </row>
    <row r="476">
      <c r="A476" s="78" t="str">
        <f>'Active and Pre-IPO SPACs'!A477</f>
        <v>LUXA</v>
      </c>
      <c r="B476" s="95" t="str">
        <f>'Active and Pre-IPO SPACs'!B477</f>
        <v>Lux Health Tech Acquisition Corp.</v>
      </c>
      <c r="C476" s="95" t="str">
        <f>'Active and Pre-IPO SPACs'!C477</f>
        <v>Searching</v>
      </c>
      <c r="D476" s="91" t="str">
        <f>'Active and Pre-IPO SPACs'!D477</f>
        <v>Healthcare Tech</v>
      </c>
      <c r="E476" s="96" t="str">
        <f>'Active and Pre-IPO SPACs'!E477</f>
        <v/>
      </c>
      <c r="F476" s="97" t="str">
        <f>'Active and Pre-IPO SPACs'!F477</f>
        <v>Peter Hébert (Co-founder/MP, Lux Capital), Senator Bob Kerrey (Fmr Senator from Nebraska)</v>
      </c>
      <c r="G476" s="98">
        <f>'Active and Pre-IPO SPACs'!P477</f>
        <v>44130</v>
      </c>
      <c r="H476" s="99">
        <f>'Active and Pre-IPO SPACs'!Q477</f>
        <v>345</v>
      </c>
      <c r="I476" s="100" t="str">
        <f>'Active and Pre-IPO SPACs'!M477</f>
        <v>U: [1/3 W]; W: [1:1, $11.5]</v>
      </c>
    </row>
    <row r="477">
      <c r="A477" s="78" t="str">
        <f>'Active and Pre-IPO SPACs'!A478</f>
        <v>LVRA</v>
      </c>
      <c r="B477" s="95" t="str">
        <f>'Active and Pre-IPO SPACs'!B478</f>
        <v>Levere Holdings Corp.</v>
      </c>
      <c r="C477" s="95" t="str">
        <f>'Active and Pre-IPO SPACs'!C478</f>
        <v>Searching (Pre Unit Split)</v>
      </c>
      <c r="D477" s="101" t="str">
        <f>'Active and Pre-IPO SPACs'!D478</f>
        <v>Mobility in Europe, Middle East and Africa</v>
      </c>
      <c r="E477" s="96" t="str">
        <f>'Active and Pre-IPO SPACs'!E478</f>
        <v/>
      </c>
      <c r="F477" s="97" t="str">
        <f>'Active and Pre-IPO SPACs'!F478</f>
        <v>Martin Varsavsky (Founder, Viatel; Jazztel), Stefan Krause (Founder, Canoo; Fmr CFO, Deutsche Bank), Bodo Uebber (Fmr CFO, Daimler; Fmr Chairman, Airbus; Supervisory Board Member, Adidas)</v>
      </c>
      <c r="G477" s="98">
        <f>'Active and Pre-IPO SPACs'!P478</f>
        <v>44273</v>
      </c>
      <c r="H477" s="99">
        <f>'Active and Pre-IPO SPACs'!Q478</f>
        <v>250</v>
      </c>
      <c r="I477" s="100" t="str">
        <f>'Active and Pre-IPO SPACs'!M478</f>
        <v>U: [1/3 W]; W: [1:1, $11.5]</v>
      </c>
    </row>
    <row r="478">
      <c r="A478" s="78" t="str">
        <f>'Active and Pre-IPO SPACs'!A479</f>
        <v>LWAC</v>
      </c>
      <c r="B478" s="95" t="str">
        <f>'Active and Pre-IPO SPACs'!B479</f>
        <v>Locust Walk Acquisition Corp.</v>
      </c>
      <c r="C478" s="95" t="str">
        <f>'Active and Pre-IPO SPACs'!C479</f>
        <v>Searching</v>
      </c>
      <c r="D478" s="91" t="str">
        <f>'Active and Pre-IPO SPACs'!D479</f>
        <v>Life Sciences, Healthcare</v>
      </c>
      <c r="E478" s="96" t="str">
        <f>'Active and Pre-IPO SPACs'!E479</f>
        <v/>
      </c>
      <c r="F478" s="97" t="str">
        <f>'Active and Pre-IPO SPACs'!F479</f>
        <v/>
      </c>
      <c r="G478" s="98">
        <f>'Active and Pre-IPO SPACs'!P479</f>
        <v>44203</v>
      </c>
      <c r="H478" s="99">
        <f>'Active and Pre-IPO SPACs'!Q479</f>
        <v>175</v>
      </c>
      <c r="I478" s="100" t="str">
        <f>'Active and Pre-IPO SPACs'!M479</f>
        <v>U: [1/3 W]; W: [1:1, $11.5]</v>
      </c>
    </row>
    <row r="479">
      <c r="A479" s="78" t="str">
        <f>'Active and Pre-IPO SPACs'!A480</f>
        <v>MAAC</v>
      </c>
      <c r="B479" s="95" t="str">
        <f>'Active and Pre-IPO SPACs'!B480</f>
        <v>Montes Archimedes Acquisition Corp.</v>
      </c>
      <c r="C479" s="95" t="str">
        <f>'Active and Pre-IPO SPACs'!C480</f>
        <v>Searching</v>
      </c>
      <c r="D479" s="91" t="str">
        <f>'Active and Pre-IPO SPACs'!D480</f>
        <v>Healthcare</v>
      </c>
      <c r="E479" s="96" t="str">
        <f>'Active and Pre-IPO SPACs'!E480</f>
        <v/>
      </c>
      <c r="F479" s="97" t="str">
        <f>'Active and Pre-IPO SPACs'!F480</f>
        <v/>
      </c>
      <c r="G479" s="98">
        <f>'Active and Pre-IPO SPACs'!P480</f>
        <v>44110</v>
      </c>
      <c r="H479" s="99">
        <f>'Active and Pre-IPO SPACs'!Q480</f>
        <v>410.71823</v>
      </c>
      <c r="I479" s="100" t="str">
        <f>'Active and Pre-IPO SPACs'!M480</f>
        <v>U: [1/2 W]; W: [1:1, $11.5]</v>
      </c>
    </row>
    <row r="480">
      <c r="A480" s="78" t="str">
        <f>'Active and Pre-IPO SPACs'!A481</f>
        <v>MACA</v>
      </c>
      <c r="B480" s="95" t="str">
        <f>'Active and Pre-IPO SPACs'!B481</f>
        <v>Moringa Acquisition Corp</v>
      </c>
      <c r="C480" s="95" t="str">
        <f>'Active and Pre-IPO SPACs'!C481</f>
        <v>Searching</v>
      </c>
      <c r="D480" s="101" t="str">
        <f>'Active and Pre-IPO SPACs'!D481</f>
        <v>Tech, Israel</v>
      </c>
      <c r="E480" s="96" t="str">
        <f>'Active and Pre-IPO SPACs'!E481</f>
        <v/>
      </c>
      <c r="F480" s="97" t="str">
        <f>'Active and Pre-IPO SPACs'!F481</f>
        <v/>
      </c>
      <c r="G480" s="98">
        <f>'Active and Pre-IPO SPACs'!P481</f>
        <v>44243</v>
      </c>
      <c r="H480" s="99">
        <f>'Active and Pre-IPO SPACs'!Q481</f>
        <v>100</v>
      </c>
      <c r="I480" s="100" t="str">
        <f>'Active and Pre-IPO SPACs'!M481</f>
        <v>U: [1/2 W]; W: [1:1, $11.5]</v>
      </c>
    </row>
    <row r="481">
      <c r="A481" s="103" t="str">
        <f>'Active and Pre-IPO SPACs'!A482</f>
        <v>MACC</v>
      </c>
      <c r="B481" s="95" t="str">
        <f>'Active and Pre-IPO SPACs'!B482</f>
        <v>Mission Advancement Corp.</v>
      </c>
      <c r="C481" s="95" t="str">
        <f>'Active and Pre-IPO SPACs'!C482</f>
        <v>Searching (Pre Unit Split)</v>
      </c>
      <c r="D481" s="91" t="str">
        <f>'Active and Pre-IPO SPACs'!D482</f>
        <v>The intersection of Consumer and Impact</v>
      </c>
      <c r="E481" s="96" t="str">
        <f>'Active and Pre-IPO SPACs'!E482</f>
        <v/>
      </c>
      <c r="F481" s="97" t="str">
        <f>'Active and Pre-IPO SPACs'!F482</f>
        <v>Jahm Najafi (CEO, The Najafi Companies), Colin Kaepernick (Fmr NFL QB; Director, Medium; Founder, Kaepernick Publishing), Katia Beauchamp (Co-founder/CEO. Birchbox)</v>
      </c>
      <c r="G481" s="98">
        <f>'Active and Pre-IPO SPACs'!P482</f>
        <v>44257</v>
      </c>
      <c r="H481" s="99">
        <f>'Active and Pre-IPO SPACs'!Q482</f>
        <v>345</v>
      </c>
      <c r="I481" s="100" t="str">
        <f>'Active and Pre-IPO SPACs'!M482</f>
        <v>U: [1/3 W]; W: [1:1, $11.5]</v>
      </c>
    </row>
    <row r="482">
      <c r="A482" s="78" t="str">
        <f>'Active and Pre-IPO SPACs'!A483</f>
        <v>MACQ</v>
      </c>
      <c r="B482" s="95" t="str">
        <f>'Active and Pre-IPO SPACs'!B483</f>
        <v>MCAP Acquisition Corp</v>
      </c>
      <c r="C482" s="95" t="str">
        <f>'Active and Pre-IPO SPACs'!C483</f>
        <v>Searching (Pre Unit Split)</v>
      </c>
      <c r="D482" s="101" t="str">
        <f>'Active and Pre-IPO SPACs'!D483</f>
        <v>Tech, Software</v>
      </c>
      <c r="E482" s="96" t="str">
        <f>'Active and Pre-IPO SPACs'!E483</f>
        <v/>
      </c>
      <c r="F482" s="97" t="str">
        <f>'Active and Pre-IPO SPACs'!F483</f>
        <v>Monroe Capital</v>
      </c>
      <c r="G482" s="98">
        <f>'Active and Pre-IPO SPACs'!P483</f>
        <v>44252</v>
      </c>
      <c r="H482" s="99">
        <f>'Active and Pre-IPO SPACs'!Q483</f>
        <v>316.25</v>
      </c>
      <c r="I482" s="100" t="str">
        <f>'Active and Pre-IPO SPACs'!M483</f>
        <v>U: [1/3 W]; W: [1:1, $11.5]</v>
      </c>
    </row>
    <row r="483">
      <c r="A483" s="103" t="str">
        <f>'Active and Pre-IPO SPACs'!A484</f>
        <v>MACS</v>
      </c>
      <c r="B483" s="95" t="str">
        <f>'Active and Pre-IPO SPACs'!B484</f>
        <v>Modiv Acquisition Corp.</v>
      </c>
      <c r="C483" s="95" t="str">
        <f>'Active and Pre-IPO SPACs'!C484</f>
        <v>Pre IPO</v>
      </c>
      <c r="D483" s="91" t="str">
        <f>'Active and Pre-IPO SPACs'!D484</f>
        <v>Fintech, Proptech</v>
      </c>
      <c r="E483" s="96" t="str">
        <f>'Active and Pre-IPO SPACs'!E484</f>
        <v/>
      </c>
      <c r="F483" s="97" t="str">
        <f>'Active and Pre-IPO SPACs'!F484</f>
        <v>Ray Wirta (Former Chairman/CEO, CBRE; Director, CBRE)</v>
      </c>
      <c r="G483" s="98" t="str">
        <f>'Active and Pre-IPO SPACs'!P484</f>
        <v/>
      </c>
      <c r="H483" s="99">
        <f>'Active and Pre-IPO SPACs'!Q484</f>
        <v>100</v>
      </c>
      <c r="I483" s="100" t="str">
        <f>'Active and Pre-IPO SPACs'!M484</f>
        <v>U: [1 W]; W: [2:1, $11.5]</v>
      </c>
    </row>
    <row r="484">
      <c r="A484" s="78" t="str">
        <f>'Active and Pre-IPO SPACs'!A485</f>
        <v>MACU</v>
      </c>
      <c r="B484" s="95" t="str">
        <f>'Active and Pre-IPO SPACs'!B485</f>
        <v>Mallard Acquisition Corp.</v>
      </c>
      <c r="C484" s="95" t="str">
        <f>'Active and Pre-IPO SPACs'!C485</f>
        <v>Searching</v>
      </c>
      <c r="D484" s="91" t="str">
        <f>'Active and Pre-IPO SPACs'!D485</f>
        <v>Distribution, industrial services, &amp; manufacturing</v>
      </c>
      <c r="E484" s="96" t="str">
        <f>'Active and Pre-IPO SPACs'!E485</f>
        <v/>
      </c>
      <c r="F484" s="97" t="str">
        <f>'Active and Pre-IPO SPACs'!F485</f>
        <v/>
      </c>
      <c r="G484" s="98">
        <f>'Active and Pre-IPO SPACs'!P485</f>
        <v>44131</v>
      </c>
      <c r="H484" s="99">
        <f>'Active and Pre-IPO SPACs'!Q485</f>
        <v>111.1</v>
      </c>
      <c r="I484" s="100" t="str">
        <f>'Active and Pre-IPO SPACs'!M485</f>
        <v>U: [1 W]; W: [2:1, $11.5]</v>
      </c>
    </row>
    <row r="485">
      <c r="A485" s="103" t="str">
        <f>'Active and Pre-IPO SPACs'!A486</f>
        <v>MAQC</v>
      </c>
      <c r="B485" s="95" t="str">
        <f>'Active and Pre-IPO SPACs'!B486</f>
        <v>Maquia Capital Acquisition Corporation</v>
      </c>
      <c r="C485" s="95" t="str">
        <f>'Active and Pre-IPO SPACs'!C486</f>
        <v>Pre IPO</v>
      </c>
      <c r="D485" s="101" t="str">
        <f>'Active and Pre-IPO SPACs'!D486</f>
        <v>Tech</v>
      </c>
      <c r="E485" s="96" t="str">
        <f>'Active and Pre-IPO SPACs'!E486</f>
        <v/>
      </c>
      <c r="F485" s="97" t="str">
        <f>'Active and Pre-IPO SPACs'!F486</f>
        <v/>
      </c>
      <c r="G485" s="98" t="str">
        <f>'Active and Pre-IPO SPACs'!P486</f>
        <v/>
      </c>
      <c r="H485" s="99">
        <f>'Active and Pre-IPO SPACs'!Q486</f>
        <v>200</v>
      </c>
      <c r="I485" s="100" t="str">
        <f>'Active and Pre-IPO SPACs'!M486</f>
        <v>U: [1/2 W]; W: [1:1, $11.5]</v>
      </c>
    </row>
    <row r="486">
      <c r="A486" s="103" t="str">
        <f>'Active and Pre-IPO SPACs'!A487</f>
        <v>MBAC</v>
      </c>
      <c r="B486" s="95" t="str">
        <f>'Active and Pre-IPO SPACs'!B487</f>
        <v>M3-Brigade Acquisition II Corp.</v>
      </c>
      <c r="C486" s="95" t="str">
        <f>'Active and Pre-IPO SPACs'!C487</f>
        <v>Searching (Pre Unit Split)</v>
      </c>
      <c r="D486" s="91" t="str">
        <f>'Active and Pre-IPO SPACs'!D487</f>
        <v>Impacted by COVID-19, Renewable Energy</v>
      </c>
      <c r="E486" s="96" t="str">
        <f>'Active and Pre-IPO SPACs'!E487</f>
        <v/>
      </c>
      <c r="F486" s="97" t="str">
        <f>'Active and Pre-IPO SPACs'!F487</f>
        <v/>
      </c>
      <c r="G486" s="98">
        <f>'Active and Pre-IPO SPACs'!P487</f>
        <v>44258</v>
      </c>
      <c r="H486" s="99">
        <f>'Active and Pre-IPO SPACs'!Q487</f>
        <v>400</v>
      </c>
      <c r="I486" s="100" t="str">
        <f>'Active and Pre-IPO SPACs'!M487</f>
        <v>U: [1/3 W]; W: [1:1, $11.5]</v>
      </c>
    </row>
    <row r="487">
      <c r="A487" s="103" t="str">
        <f>'Active and Pre-IPO SPACs'!A488</f>
        <v>MBTC</v>
      </c>
      <c r="B487" s="95" t="str">
        <f>'Active and Pre-IPO SPACs'!B488</f>
        <v>Nocturne Acquisition Corp</v>
      </c>
      <c r="C487" s="95" t="str">
        <f>'Active and Pre-IPO SPACs'!C488</f>
        <v>Searching (Pre Unit Split)</v>
      </c>
      <c r="D487" s="101" t="str">
        <f>'Active and Pre-IPO SPACs'!D488</f>
        <v>Tech, Blockchain, Artificial Intelligence</v>
      </c>
      <c r="E487" s="96" t="str">
        <f>'Active and Pre-IPO SPACs'!E488</f>
        <v/>
      </c>
      <c r="F487" s="97" t="str">
        <f>'Active and Pre-IPO SPACs'!F488</f>
        <v>Henry Monzon (Co-founder/Chairman/CEO, Katena Computing)</v>
      </c>
      <c r="G487" s="98">
        <f>'Active and Pre-IPO SPACs'!P488</f>
        <v>44286</v>
      </c>
      <c r="H487" s="99">
        <f>'Active and Pre-IPO SPACs'!Q488</f>
        <v>101</v>
      </c>
      <c r="I487" s="100" t="str">
        <f>'Active and Pre-IPO SPACs'!M488</f>
        <v>U: [1/10 R]; W: [1:1, $11.5]</v>
      </c>
    </row>
    <row r="488">
      <c r="A488" s="78" t="str">
        <f>'Active and Pre-IPO SPACs'!A489</f>
        <v>MCAD</v>
      </c>
      <c r="B488" s="95" t="str">
        <f>'Active and Pre-IPO SPACs'!B489</f>
        <v>Mountain Crest Acquisition Corp. II</v>
      </c>
      <c r="C488" s="95" t="str">
        <f>'Active and Pre-IPO SPACs'!C489</f>
        <v>Definitive Agreement</v>
      </c>
      <c r="D488" s="91" t="str">
        <f>'Active and Pre-IPO SPACs'!D489</f>
        <v/>
      </c>
      <c r="E488" s="96" t="str">
        <f>'Active and Pre-IPO SPACs'!E489</f>
        <v>Better Therapeutics [DA: 04/07/21]</v>
      </c>
      <c r="F488" s="97" t="str">
        <f>'Active and Pre-IPO SPACs'!F489</f>
        <v>Dr. Suying Liu (Chairman/CEO, MCAC)</v>
      </c>
      <c r="G488" s="98">
        <f>'Active and Pre-IPO SPACs'!P489</f>
        <v>44203</v>
      </c>
      <c r="H488" s="99">
        <f>'Active and Pre-IPO SPACs'!Q489</f>
        <v>57.5</v>
      </c>
      <c r="I488" s="100" t="str">
        <f>'Active and Pre-IPO SPACs'!M489</f>
        <v>U: [1/10 R]; W: [No warrants]</v>
      </c>
    </row>
    <row r="489">
      <c r="A489" s="78" t="str">
        <f>'Active and Pre-IPO SPACs'!A490</f>
        <v>MCMJ</v>
      </c>
      <c r="B489" s="95" t="str">
        <f>'Active and Pre-IPO SPACs'!B490</f>
        <v>Merida Merger Corp. I</v>
      </c>
      <c r="C489" s="95" t="str">
        <f>'Active and Pre-IPO SPACs'!C490</f>
        <v>Searching</v>
      </c>
      <c r="D489" s="91" t="str">
        <f>'Active and Pre-IPO SPACs'!D490</f>
        <v>Cannabis</v>
      </c>
      <c r="E489" s="96" t="str">
        <f>'Active and Pre-IPO SPACs'!E490</f>
        <v/>
      </c>
      <c r="F489" s="97" t="str">
        <f>'Active and Pre-IPO SPACs'!F490</f>
        <v/>
      </c>
      <c r="G489" s="98">
        <f>'Active and Pre-IPO SPACs'!P490</f>
        <v>43774</v>
      </c>
      <c r="H489" s="99">
        <f>'Active and Pre-IPO SPACs'!Q490</f>
        <v>130.01552</v>
      </c>
      <c r="I489" s="100" t="str">
        <f>'Active and Pre-IPO SPACs'!M490</f>
        <v>U: [1/2 W]; W: [1:1, $11.5]</v>
      </c>
    </row>
    <row r="490">
      <c r="A490" s="103" t="str">
        <f>'Active and Pre-IPO SPACs'!A491</f>
        <v>MCTY</v>
      </c>
      <c r="B490" s="95" t="str">
        <f>'Active and Pre-IPO SPACs'!B491</f>
        <v>Motor City Acquisition Corp.</v>
      </c>
      <c r="C490" s="95" t="str">
        <f>'Active and Pre-IPO SPACs'!C491</f>
        <v>Pre IPO</v>
      </c>
      <c r="D490" s="101" t="str">
        <f>'Active and Pre-IPO SPACs'!D491</f>
        <v>Automotive and Mobility</v>
      </c>
      <c r="E490" s="96" t="str">
        <f>'Active and Pre-IPO SPACs'!E491</f>
        <v/>
      </c>
      <c r="F490" s="97" t="str">
        <f>'Active and Pre-IPO SPACs'!F491</f>
        <v>Robert Wagman (Former CEO of LKQ Corporation), Jeremy Anspach (Founder &amp; CEO of PureCars), William Giles (Former CFO of Autozone)</v>
      </c>
      <c r="G490" s="98" t="str">
        <f>'Active and Pre-IPO SPACs'!P491</f>
        <v/>
      </c>
      <c r="H490" s="99">
        <f>'Active and Pre-IPO SPACs'!Q491</f>
        <v>250</v>
      </c>
      <c r="I490" s="100" t="str">
        <f>'Active and Pre-IPO SPACs'!M491</f>
        <v>U: [1/4 W]; W: [1:1, $11.5]</v>
      </c>
    </row>
    <row r="491">
      <c r="A491" s="78" t="str">
        <f>'Active and Pre-IPO SPACs'!A492</f>
        <v>MDH</v>
      </c>
      <c r="B491" s="95" t="str">
        <f>'Active and Pre-IPO SPACs'!B492</f>
        <v>MDH Acquisition Corp.</v>
      </c>
      <c r="C491" s="95" t="str">
        <f>'Active and Pre-IPO SPACs'!C492</f>
        <v>Searching</v>
      </c>
      <c r="D491" s="91" t="str">
        <f>'Active and Pre-IPO SPACs'!D492</f>
        <v>Transportation, Logistics, Telecom, Financial Services, Professional Services (Heartland of America Geo)</v>
      </c>
      <c r="E491" s="96" t="str">
        <f>'Active and Pre-IPO SPACs'!E492</f>
        <v/>
      </c>
      <c r="F491" s="97" t="str">
        <f>'Active and Pre-IPO SPACs'!F492</f>
        <v/>
      </c>
      <c r="G491" s="98">
        <f>'Active and Pre-IPO SPACs'!P492</f>
        <v>44228</v>
      </c>
      <c r="H491" s="99">
        <f>'Active and Pre-IPO SPACs'!Q492</f>
        <v>276</v>
      </c>
      <c r="I491" s="100" t="str">
        <f>'Active and Pre-IPO SPACs'!M492</f>
        <v>U: [1/2 W]; W: [1:1, $11.5]</v>
      </c>
    </row>
    <row r="492">
      <c r="A492" s="103" t="str">
        <f>'Active and Pre-IPO SPACs'!A493</f>
        <v>MEAC</v>
      </c>
      <c r="B492" s="95" t="str">
        <f>'Active and Pre-IPO SPACs'!B493</f>
        <v>Mercury Ecommerce Acquisition Corp</v>
      </c>
      <c r="C492" s="95" t="str">
        <f>'Active and Pre-IPO SPACs'!C493</f>
        <v>Pre IPO</v>
      </c>
      <c r="D492" s="101" t="str">
        <f>'Active and Pre-IPO SPACs'!D493</f>
        <v>Ecommerce, Enterprise SaaS</v>
      </c>
      <c r="E492" s="96" t="str">
        <f>'Active and Pre-IPO SPACs'!E493</f>
        <v/>
      </c>
      <c r="F492" s="97" t="str">
        <f>'Active and Pre-IPO SPACs'!F493</f>
        <v/>
      </c>
      <c r="G492" s="98" t="str">
        <f>'Active and Pre-IPO SPACs'!P493</f>
        <v/>
      </c>
      <c r="H492" s="99">
        <f>'Active and Pre-IPO SPACs'!Q493</f>
        <v>175</v>
      </c>
      <c r="I492" s="100" t="str">
        <f>'Active and Pre-IPO SPACs'!M493</f>
        <v>U: [1/2 W]; W: [1:1, $11.5]</v>
      </c>
    </row>
    <row r="493">
      <c r="A493" s="78" t="str">
        <f>'Active and Pre-IPO SPACs'!A494</f>
        <v>MIT</v>
      </c>
      <c r="B493" s="95" t="str">
        <f>'Active and Pre-IPO SPACs'!B494</f>
        <v>Mason Industrial Technology, Inc.</v>
      </c>
      <c r="C493" s="95" t="str">
        <f>'Active and Pre-IPO SPACs'!C494</f>
        <v>Searching</v>
      </c>
      <c r="D493" s="91" t="str">
        <f>'Active and Pre-IPO SPACs'!D494</f>
        <v>Industrial Tech, Advanced Materials, Specialty Chemicals</v>
      </c>
      <c r="E493" s="96" t="str">
        <f>'Active and Pre-IPO SPACs'!E494</f>
        <v/>
      </c>
      <c r="F493" s="97" t="str">
        <f>'Active and Pre-IPO SPACs'!F494</f>
        <v>Marshall Sanford, Jr. (Fmr Governor of SC; Fmr US House Rep)</v>
      </c>
      <c r="G493" s="98">
        <f>'Active and Pre-IPO SPACs'!P494</f>
        <v>44224</v>
      </c>
      <c r="H493" s="99">
        <f>'Active and Pre-IPO SPACs'!Q494</f>
        <v>500</v>
      </c>
      <c r="I493" s="100" t="str">
        <f>'Active and Pre-IPO SPACs'!M494</f>
        <v>U: [1/3 W]; W: [1:1, $11.5]</v>
      </c>
    </row>
    <row r="494">
      <c r="A494" s="103" t="str">
        <f>'Active and Pre-IPO SPACs'!A495</f>
        <v>MITA</v>
      </c>
      <c r="B494" s="95" t="str">
        <f>'Active and Pre-IPO SPACs'!B495</f>
        <v>Coliseum Acquisition Corp.</v>
      </c>
      <c r="C494" s="95" t="str">
        <f>'Active and Pre-IPO SPACs'!C495</f>
        <v>Pre IPO</v>
      </c>
      <c r="D494" s="101" t="str">
        <f>'Active and Pre-IPO SPACs'!D495</f>
        <v>Consumer (sports, entertainment, digital media, Tech)</v>
      </c>
      <c r="E494" s="96" t="str">
        <f>'Active and Pre-IPO SPACs'!E495</f>
        <v/>
      </c>
      <c r="F494" s="97" t="str">
        <f>'Active and Pre-IPO SPACs'!F495</f>
        <v>Jason Stein (Co-founder &amp; General Partner at SC Holdings), Rich Paul (Founder &amp; CEO of Klutch Sports Group), Jim Lanzone (CEO of Tinder, Former CEO of CBS Interactive, and Former CEO of Ask.com), Andrew Heyer (Founder &amp; CEO of Mistral Equity Partners and Serial SPAC sponsor)</v>
      </c>
      <c r="G494" s="98" t="str">
        <f>'Active and Pre-IPO SPACs'!P495</f>
        <v/>
      </c>
      <c r="H494" s="99">
        <f>'Active and Pre-IPO SPACs'!Q495</f>
        <v>150</v>
      </c>
      <c r="I494" s="100" t="str">
        <f>'Active and Pre-IPO SPACs'!M495</f>
        <v>U: [1/3 W]; W: [1:1, $11.5]</v>
      </c>
    </row>
    <row r="495">
      <c r="A495" s="78" t="str">
        <f>'Active and Pre-IPO SPACs'!A496</f>
        <v>MLAC</v>
      </c>
      <c r="B495" s="95" t="str">
        <f>'Active and Pre-IPO SPACs'!B496</f>
        <v>Malacca Straits Acquisition</v>
      </c>
      <c r="C495" s="95" t="str">
        <f>'Active and Pre-IPO SPACs'!C496</f>
        <v>Definitive Agreement</v>
      </c>
      <c r="D495" s="91" t="str">
        <f>'Active and Pre-IPO SPACs'!D496</f>
        <v>Southeast Asia</v>
      </c>
      <c r="E495" s="96" t="str">
        <f>'Active and Pre-IPO SPACs'!E496</f>
        <v>Asia Vision Network [DA: 03/22/21]</v>
      </c>
      <c r="F495" s="97" t="str">
        <f>'Active and Pre-IPO SPACs'!F496</f>
        <v/>
      </c>
      <c r="G495" s="98">
        <f>'Active and Pre-IPO SPACs'!P496</f>
        <v>44027</v>
      </c>
      <c r="H495" s="99">
        <f>'Active and Pre-IPO SPACs'!Q496</f>
        <v>143.75</v>
      </c>
      <c r="I495" s="100" t="str">
        <f>'Active and Pre-IPO SPACs'!M496</f>
        <v>U: [1/2 W]; W: [1:1, $11.5]</v>
      </c>
    </row>
    <row r="496">
      <c r="A496" s="78" t="str">
        <f>'Active and Pre-IPO SPACs'!A497</f>
        <v>MON</v>
      </c>
      <c r="B496" s="95" t="str">
        <f>'Active and Pre-IPO SPACs'!B497</f>
        <v>Monument Circle Acquisition Corp.</v>
      </c>
      <c r="C496" s="95" t="str">
        <f>'Active and Pre-IPO SPACs'!C497</f>
        <v>Searching</v>
      </c>
      <c r="D496" s="91" t="str">
        <f>'Active and Pre-IPO SPACs'!D497</f>
        <v>Media, Tech, Entertainment</v>
      </c>
      <c r="E496" s="96" t="str">
        <f>'Active and Pre-IPO SPACs'!E497</f>
        <v/>
      </c>
      <c r="F496" s="97" t="str">
        <f>'Active and Pre-IPO SPACs'!F497</f>
        <v>Jeff Smulyan (Founder, Emmis Communications), Stephen Goldsmith (Fmr Mayor of Indianapolis, Deputy Mayor of NYC: Bloomberg)</v>
      </c>
      <c r="G496" s="98">
        <f>'Active and Pre-IPO SPACs'!P497</f>
        <v>44210</v>
      </c>
      <c r="H496" s="99">
        <f>'Active and Pre-IPO SPACs'!Q497</f>
        <v>250</v>
      </c>
      <c r="I496" s="100" t="str">
        <f>'Active and Pre-IPO SPACs'!M497</f>
        <v>U: [1/2 W]; W: [1:1, $11.5]</v>
      </c>
    </row>
    <row r="497">
      <c r="A497" s="103" t="str">
        <f>'Active and Pre-IPO SPACs'!A498</f>
        <v>MOOS</v>
      </c>
      <c r="B497" s="95" t="str">
        <f>'Active and Pre-IPO SPACs'!B498</f>
        <v>Moose Pond Acquisition Corp, NCV I</v>
      </c>
      <c r="C497" s="95" t="str">
        <f>'Active and Pre-IPO SPACs'!C498</f>
        <v>Pre IPO</v>
      </c>
      <c r="D497" s="101" t="str">
        <f>'Active and Pre-IPO SPACs'!D498</f>
        <v>Consumer Tech</v>
      </c>
      <c r="E497" s="96" t="str">
        <f>'Active and Pre-IPO SPACs'!E498</f>
        <v/>
      </c>
      <c r="F497" s="97" t="str">
        <f>'Active and Pre-IPO SPACs'!F498</f>
        <v>Cotter Cunningham (Founder/Fmr Chairman/CEO &amp; CEO, RetailMeNot; Fmr COO, Bankrate), Brian Sharples (Founder/Fmr CEO, HomeAway; Director, GoDaddy, Avalara, Yelp, &amp; Ally Financial)</v>
      </c>
      <c r="G497" s="98" t="str">
        <f>'Active and Pre-IPO SPACs'!P498</f>
        <v/>
      </c>
      <c r="H497" s="99">
        <f>'Active and Pre-IPO SPACs'!Q498</f>
        <v>200</v>
      </c>
      <c r="I497" s="100" t="str">
        <f>'Active and Pre-IPO SPACs'!M498</f>
        <v>U: [1/3 W]; W: [1:1, $11.5]</v>
      </c>
    </row>
    <row r="498">
      <c r="A498" s="78" t="str">
        <f>'Active and Pre-IPO SPACs'!A499</f>
        <v>MOTN</v>
      </c>
      <c r="B498" s="95" t="str">
        <f>'Active and Pre-IPO SPACs'!B499</f>
        <v>Motion Acquisition Corp</v>
      </c>
      <c r="C498" s="95" t="str">
        <f>'Active and Pre-IPO SPACs'!C499</f>
        <v>Definitive Agreement</v>
      </c>
      <c r="D498" s="91" t="str">
        <f>'Active and Pre-IPO SPACs'!D499</f>
        <v>Telematics (including transportation software)</v>
      </c>
      <c r="E498" s="96" t="str">
        <f>'Active and Pre-IPO SPACs'!E499</f>
        <v>Ambulnz (dba DocGo) [DA: 03/09/21]</v>
      </c>
      <c r="F498" s="97" t="str">
        <f>'Active and Pre-IPO SPACs'!F499</f>
        <v>James Travers (Fmr Chairman, Fleetmatics Group), Michael Burdiek (Fmr CEO, CalAmp)</v>
      </c>
      <c r="G498" s="98">
        <f>'Active and Pre-IPO SPACs'!P499</f>
        <v>44119</v>
      </c>
      <c r="H498" s="99">
        <f>'Active and Pre-IPO SPACs'!Q499</f>
        <v>115</v>
      </c>
      <c r="I498" s="100" t="str">
        <f>'Active and Pre-IPO SPACs'!M499</f>
        <v>U: [1/3 W]; W: [1:1, $11.5]</v>
      </c>
    </row>
    <row r="499">
      <c r="A499" s="78" t="str">
        <f>'Active and Pre-IPO SPACs'!A500</f>
        <v>MOTV</v>
      </c>
      <c r="B499" s="95" t="str">
        <f>'Active and Pre-IPO SPACs'!B500</f>
        <v>Motive Capital Corp</v>
      </c>
      <c r="C499" s="95" t="str">
        <f>'Active and Pre-IPO SPACs'!C500</f>
        <v>Searching</v>
      </c>
      <c r="D499" s="91" t="str">
        <f>'Active and Pre-IPO SPACs'!D500</f>
        <v>Fintech, Financial Services</v>
      </c>
      <c r="E499" s="96" t="str">
        <f>'Active and Pre-IPO SPACs'!E500</f>
        <v/>
      </c>
      <c r="F499" s="97" t="str">
        <f>'Active and Pre-IPO SPACs'!F500</f>
        <v>Dina Dublon (Fmr CFO, JPMorgan Chase; Director, PepsiCo), Blythe Masters (Fmr Exec Committee member, JP Morgan; Fmr CEO, Digital Asset)</v>
      </c>
      <c r="G499" s="98">
        <f>'Active and Pre-IPO SPACs'!P500</f>
        <v>44175</v>
      </c>
      <c r="H499" s="99">
        <f>'Active and Pre-IPO SPACs'!Q500</f>
        <v>414</v>
      </c>
      <c r="I499" s="100" t="str">
        <f>'Active and Pre-IPO SPACs'!M500</f>
        <v>U: [1/3 W]; W: [1:1, $11.5]</v>
      </c>
    </row>
    <row r="500">
      <c r="A500" s="103" t="str">
        <f>'Active and Pre-IPO SPACs'!A501</f>
        <v>MPAC</v>
      </c>
      <c r="B500" s="95" t="str">
        <f>'Active and Pre-IPO SPACs'!B501</f>
        <v>Model Performance Acquisition Corp</v>
      </c>
      <c r="C500" s="95" t="str">
        <f>'Active and Pre-IPO SPACs'!C501</f>
        <v>Searching (Pre Unit Split)</v>
      </c>
      <c r="D500" s="101" t="str">
        <f>'Active and Pre-IPO SPACs'!D501</f>
        <v>Asia</v>
      </c>
      <c r="E500" s="96" t="str">
        <f>'Active and Pre-IPO SPACs'!E501</f>
        <v/>
      </c>
      <c r="F500" s="97" t="str">
        <f>'Active and Pre-IPO SPACs'!F501</f>
        <v/>
      </c>
      <c r="G500" s="98">
        <f>'Active and Pre-IPO SPACs'!P501</f>
        <v>44293</v>
      </c>
      <c r="H500" s="99">
        <f>'Active and Pre-IPO SPACs'!Q501</f>
        <v>50</v>
      </c>
      <c r="I500" s="100" t="str">
        <f>'Active and Pre-IPO SPACs'!M501</f>
        <v>U: [1/2 W, 1 R (1/10 sh)]; W: [1:1, $11.5]</v>
      </c>
    </row>
    <row r="501">
      <c r="A501" s="78" t="str">
        <f>'Active and Pre-IPO SPACs'!A502</f>
        <v>MRAC</v>
      </c>
      <c r="B501" s="95" t="str">
        <f>'Active and Pre-IPO SPACs'!B502</f>
        <v>Marquee Raine Acquisition Corp.</v>
      </c>
      <c r="C501" s="95" t="str">
        <f>'Active and Pre-IPO SPACs'!C502</f>
        <v>Searching</v>
      </c>
      <c r="D501" s="91" t="str">
        <f>'Active and Pre-IPO SPACs'!D502</f>
        <v>TMT</v>
      </c>
      <c r="E501" s="96" t="str">
        <f>'Active and Pre-IPO SPACs'!E502</f>
        <v>[In talks (unconfirmed) with Enjoy Technology: Per Bloomberg 4/5/21]</v>
      </c>
      <c r="F501" s="97" t="str">
        <f>'Active and Pre-IPO SPACs'!F502</f>
        <v>Crane Kenney (President of Business Ops, Chicago Cubs), Thomas Ricketts (Director, TD Ameritrade; Exec Chairman, Chicago Cubs), Thomas Freston (Fmr CEO, Viacom &amp; MTV Networks), Matthew Maloney (Founder/CEO, Grubhub)</v>
      </c>
      <c r="G501" s="98">
        <f>'Active and Pre-IPO SPACs'!P502</f>
        <v>44179</v>
      </c>
      <c r="H501" s="99">
        <f>'Active and Pre-IPO SPACs'!Q502</f>
        <v>373.75</v>
      </c>
      <c r="I501" s="100" t="str">
        <f>'Active and Pre-IPO SPACs'!M502</f>
        <v>U: [1/4 W]; W: [1:1, $11.5]</v>
      </c>
    </row>
    <row r="502">
      <c r="A502" s="78" t="str">
        <f>'Active and Pre-IPO SPACs'!A503</f>
        <v>MSAC</v>
      </c>
      <c r="B502" s="95" t="str">
        <f>'Active and Pre-IPO SPACs'!B503</f>
        <v>Medicus Sciences Acquisition Corp.</v>
      </c>
      <c r="C502" s="95" t="str">
        <f>'Active and Pre-IPO SPACs'!C503</f>
        <v>Searching</v>
      </c>
      <c r="D502" s="91" t="str">
        <f>'Active and Pre-IPO SPACs'!D503</f>
        <v>MedTech</v>
      </c>
      <c r="E502" s="96" t="str">
        <f>'Active and Pre-IPO SPACs'!E503</f>
        <v/>
      </c>
      <c r="F502" s="97" t="str">
        <f>'Active and Pre-IPO SPACs'!F503</f>
        <v>Jacob Gottlieb, M.D. (MP/CIP, Altium Capital Management; Fmr Managing Member/CIO, Visium Asset Managment)</v>
      </c>
      <c r="G502" s="98">
        <f>'Active and Pre-IPO SPACs'!P503</f>
        <v>44242</v>
      </c>
      <c r="H502" s="99">
        <f>'Active and Pre-IPO SPACs'!Q503</f>
        <v>92</v>
      </c>
      <c r="I502" s="100" t="str">
        <f>'Active and Pre-IPO SPACs'!M503</f>
        <v>U: [1/9 W, 1 R (2/9W)]; W: [1:1, $11.5]</v>
      </c>
    </row>
    <row r="503">
      <c r="A503" s="103" t="str">
        <f>'Active and Pre-IPO SPACs'!A504</f>
        <v>MSDA</v>
      </c>
      <c r="B503" s="95" t="str">
        <f>'Active and Pre-IPO SPACs'!B504</f>
        <v>MSD Acquisition Corp.</v>
      </c>
      <c r="C503" s="95" t="str">
        <f>'Active and Pre-IPO SPACs'!C504</f>
        <v>Searching (Pre Unit Split)</v>
      </c>
      <c r="D503" s="101" t="str">
        <f>'Active and Pre-IPO SPACs'!D504</f>
        <v>Tech, Media</v>
      </c>
      <c r="E503" s="96" t="str">
        <f>'Active and Pre-IPO SPACs'!E504</f>
        <v/>
      </c>
      <c r="F503" s="97" t="str">
        <f>'Active and Pre-IPO SPACs'!F504</f>
        <v>Michael Dell (Founder/CEO, Dell), Gregg Lemkau (CEO/Partner, MSD Partners; Fmr Co-head, Investment Banking Division of Goldman Sachs), Jim Breyer (Founder/CEO, Breyer Capital; Fmr Partner, Accel Partners; Director, Blackstone; Fmr Director, Facebook, 21st Century Fox, Walmart, Dell, &amp; Etsy), Edith Cooper (Director, Etsy &amp; Slack), Barry McCarthy (Director/Former CFO, Spotify; Former CFO, Netflix)</v>
      </c>
      <c r="G503" s="98">
        <f>'Active and Pre-IPO SPACs'!P504</f>
        <v>44279</v>
      </c>
      <c r="H503" s="99">
        <f>'Active and Pre-IPO SPACs'!Q504</f>
        <v>575</v>
      </c>
      <c r="I503" s="100" t="str">
        <f>'Active and Pre-IPO SPACs'!M504</f>
        <v>U: [1/5 W]; W: [1:1, $11.5]</v>
      </c>
    </row>
    <row r="504">
      <c r="A504" s="78" t="str">
        <f>'Active and Pre-IPO SPACs'!A505</f>
        <v>MTAC</v>
      </c>
      <c r="B504" s="95" t="str">
        <f>'Active and Pre-IPO SPACs'!B505</f>
        <v>MedTech Acquisition Corporation</v>
      </c>
      <c r="C504" s="95" t="str">
        <f>'Active and Pre-IPO SPACs'!C505</f>
        <v>Searching</v>
      </c>
      <c r="D504" s="91" t="str">
        <f>'Active and Pre-IPO SPACs'!D505</f>
        <v>Healthcare</v>
      </c>
      <c r="E504" s="96" t="str">
        <f>'Active and Pre-IPO SPACs'!E505</f>
        <v/>
      </c>
      <c r="F504" s="97" t="str">
        <f>'Active and Pre-IPO SPACs'!F505</f>
        <v>Karim Karti (Fmr CEO, GE Healthcare Imaging), Maurice R. Ferré, MD (Fmr CEO, MAKO Surgical Corp)</v>
      </c>
      <c r="G504" s="98">
        <f>'Active and Pre-IPO SPACs'!P505</f>
        <v>44183</v>
      </c>
      <c r="H504" s="99">
        <f>'Active and Pre-IPO SPACs'!Q505</f>
        <v>250</v>
      </c>
      <c r="I504" s="100" t="str">
        <f>'Active and Pre-IPO SPACs'!M505</f>
        <v>U: [1/3 W]; W: [1:1, $11.5]</v>
      </c>
    </row>
    <row r="505">
      <c r="A505" s="78" t="str">
        <f>'Active and Pre-IPO SPACs'!A506</f>
        <v>MUDS</v>
      </c>
      <c r="B505" s="95" t="str">
        <f>'Active and Pre-IPO SPACs'!B506</f>
        <v>Mudrick Capital Acquisition Corporation II</v>
      </c>
      <c r="C505" s="95" t="str">
        <f>'Active and Pre-IPO SPACs'!C506</f>
        <v>Definitive Agreement</v>
      </c>
      <c r="D505" s="91" t="str">
        <f>'Active and Pre-IPO SPACs'!D506</f>
        <v/>
      </c>
      <c r="E505" s="96" t="str">
        <f>'Active and Pre-IPO SPACs'!E506</f>
        <v>The Topps Company [DA: 04/06/21]</v>
      </c>
      <c r="F505" s="97" t="str">
        <f>'Active and Pre-IPO SPACs'!F506</f>
        <v>Jason Mudrick (Founder, Mudrick Capital Management)</v>
      </c>
      <c r="G505" s="98">
        <f>'Active and Pre-IPO SPACs'!P506</f>
        <v>44173</v>
      </c>
      <c r="H505" s="99">
        <f>'Active and Pre-IPO SPACs'!Q506</f>
        <v>320.99375</v>
      </c>
      <c r="I505" s="100" t="str">
        <f>'Active and Pre-IPO SPACs'!M506</f>
        <v>U: [1/2 W]; W: [1:1, $11.5]</v>
      </c>
    </row>
    <row r="506">
      <c r="A506" s="78" t="str">
        <f>'Active and Pre-IPO SPACs'!A507</f>
        <v>NAAC</v>
      </c>
      <c r="B506" s="95" t="str">
        <f>'Active and Pre-IPO SPACs'!B507</f>
        <v>North Atlantic Acquisition Corporation</v>
      </c>
      <c r="C506" s="95" t="str">
        <f>'Active and Pre-IPO SPACs'!C507</f>
        <v>Searching</v>
      </c>
      <c r="D506" s="91" t="str">
        <f>'Active and Pre-IPO SPACs'!D507</f>
        <v>Europe / North America, Consumer, Industrials, Telecom</v>
      </c>
      <c r="E506" s="96" t="str">
        <f>'Active and Pre-IPO SPACs'!E507</f>
        <v/>
      </c>
      <c r="F506" s="97" t="str">
        <f>'Active and Pre-IPO SPACs'!F507</f>
        <v/>
      </c>
      <c r="G506" s="98">
        <f>'Active and Pre-IPO SPACs'!P507</f>
        <v>44218</v>
      </c>
      <c r="H506" s="99">
        <f>'Active and Pre-IPO SPACs'!Q507</f>
        <v>379.5</v>
      </c>
      <c r="I506" s="100" t="str">
        <f>'Active and Pre-IPO SPACs'!M507</f>
        <v>U: [1/3 W]; W: [1:1, $11.5]</v>
      </c>
    </row>
    <row r="507">
      <c r="A507" s="78" t="str">
        <f>'Active and Pre-IPO SPACs'!A508</f>
        <v>NBA</v>
      </c>
      <c r="B507" s="95" t="str">
        <f>'Active and Pre-IPO SPACs'!B508</f>
        <v>New Beginnings Acquisition Corp.</v>
      </c>
      <c r="C507" s="95" t="str">
        <f>'Active and Pre-IPO SPACs'!C508</f>
        <v>Definitive Agreement</v>
      </c>
      <c r="D507" s="91" t="str">
        <f>'Active and Pre-IPO SPACs'!D508</f>
        <v/>
      </c>
      <c r="E507" s="96" t="str">
        <f>'Active and Pre-IPO SPACs'!E508</f>
        <v>Airspan Networks [DA: 03/08/21]</v>
      </c>
      <c r="F507" s="97" t="str">
        <f>'Active and Pre-IPO SPACs'!F508</f>
        <v>Russell W. Galbut (MP, Crescent Heights; Chairman, Norwegian Cruise Line)</v>
      </c>
      <c r="G507" s="98">
        <f>'Active and Pre-IPO SPACs'!P508</f>
        <v>44133</v>
      </c>
      <c r="H507" s="99">
        <f>'Active and Pre-IPO SPACs'!Q508</f>
        <v>101</v>
      </c>
      <c r="I507" s="100" t="str">
        <f>'Active and Pre-IPO SPACs'!M508</f>
        <v>U: [1 W]; W: [1:1, $11.5]</v>
      </c>
    </row>
    <row r="508">
      <c r="A508" s="103" t="str">
        <f>'Active and Pre-IPO SPACs'!A509</f>
        <v>NBAB</v>
      </c>
      <c r="B508" s="95" t="str">
        <f>'Active and Pre-IPO SPACs'!B509</f>
        <v>New Beginnings Acquisition Corp. II</v>
      </c>
      <c r="C508" s="95" t="str">
        <f>'Active and Pre-IPO SPACs'!C509</f>
        <v>Pre IPO</v>
      </c>
      <c r="D508" s="91" t="str">
        <f>'Active and Pre-IPO SPACs'!D509</f>
        <v>Travel, Hospitality, Leisure, Fintech, InsurTech, Proptech (US)</v>
      </c>
      <c r="E508" s="96" t="str">
        <f>'Active and Pre-IPO SPACs'!E509</f>
        <v/>
      </c>
      <c r="F508" s="97" t="str">
        <f>'Active and Pre-IPO SPACs'!F509</f>
        <v/>
      </c>
      <c r="G508" s="98" t="str">
        <f>'Active and Pre-IPO SPACs'!P509</f>
        <v/>
      </c>
      <c r="H508" s="99">
        <f>'Active and Pre-IPO SPACs'!Q509</f>
        <v>100</v>
      </c>
      <c r="I508" s="100" t="str">
        <f>'Active and Pre-IPO SPACs'!M509</f>
        <v>U: [1/2 W]; W: [1:1, $11.5]</v>
      </c>
    </row>
    <row r="509">
      <c r="A509" s="103" t="str">
        <f>'Active and Pre-IPO SPACs'!A510</f>
        <v>NBAD</v>
      </c>
      <c r="B509" s="95" t="str">
        <f>'Active and Pre-IPO SPACs'!B510</f>
        <v>New Beginnings Acquisition Corp. III</v>
      </c>
      <c r="C509" s="95" t="str">
        <f>'Active and Pre-IPO SPACs'!C510</f>
        <v>Pre IPO</v>
      </c>
      <c r="D509" s="91" t="str">
        <f>'Active and Pre-IPO SPACs'!D510</f>
        <v>Travel, Hospitality, Leisure, Fintech, InsurTech, Proptech (Outside of US)</v>
      </c>
      <c r="E509" s="96" t="str">
        <f>'Active and Pre-IPO SPACs'!E510</f>
        <v/>
      </c>
      <c r="F509" s="97" t="str">
        <f>'Active and Pre-IPO SPACs'!F510</f>
        <v/>
      </c>
      <c r="G509" s="98" t="str">
        <f>'Active and Pre-IPO SPACs'!P510</f>
        <v/>
      </c>
      <c r="H509" s="99">
        <f>'Active and Pre-IPO SPACs'!Q510</f>
        <v>100</v>
      </c>
      <c r="I509" s="100" t="str">
        <f>'Active and Pre-IPO SPACs'!M510</f>
        <v>U: [1/2 W]; W: [1:1, $11.5]</v>
      </c>
    </row>
    <row r="510">
      <c r="A510" s="78" t="str">
        <f>'Active and Pre-IPO SPACs'!A511</f>
        <v>NBST</v>
      </c>
      <c r="B510" s="95" t="str">
        <f>'Active and Pre-IPO SPACs'!B511</f>
        <v>Newbury Street Acquisition Corporation</v>
      </c>
      <c r="C510" s="95" t="str">
        <f>'Active and Pre-IPO SPACs'!C511</f>
        <v>Searching (Pre Unit Split)</v>
      </c>
      <c r="D510" s="101" t="str">
        <f>'Active and Pre-IPO SPACs'!D511</f>
        <v>Tech in Consumer Internet/ Media (incl. sports &amp; entertainment)</v>
      </c>
      <c r="E510" s="96" t="str">
        <f>'Active and Pre-IPO SPACs'!E511</f>
        <v/>
      </c>
      <c r="F510" s="97" t="str">
        <f>'Active and Pre-IPO SPACs'!F511</f>
        <v>Matthew Hong (Fmr COO, Turner Sports), Teddy Zee (Film Producer: Pursuit of Happyness, Hitch), Kenneth Ng (Founder, Ark Pacific; CEO, MLAC SPAC)</v>
      </c>
      <c r="G510" s="98">
        <f>'Active and Pre-IPO SPACs'!P511</f>
        <v>44277</v>
      </c>
      <c r="H510" s="99">
        <f>'Active and Pre-IPO SPACs'!Q511</f>
        <v>120</v>
      </c>
      <c r="I510" s="100" t="str">
        <f>'Active and Pre-IPO SPACs'!M511</f>
        <v>U: [1/2 W]; W: [1:1, $11.5]</v>
      </c>
    </row>
    <row r="511">
      <c r="A511" s="103" t="str">
        <f>'Active and Pre-IPO SPACs'!A512</f>
        <v>NCAC</v>
      </c>
      <c r="B511" s="95" t="str">
        <f>'Active and Pre-IPO SPACs'!B512</f>
        <v>Newcourt Acquisition Corp</v>
      </c>
      <c r="C511" s="95" t="str">
        <f>'Active and Pre-IPO SPACs'!C512</f>
        <v>Pre IPO</v>
      </c>
      <c r="D511" s="101" t="str">
        <f>'Active and Pre-IPO SPACs'!D512</f>
        <v>Fintech with exposure to emerging markets</v>
      </c>
      <c r="E511" s="96" t="str">
        <f>'Active and Pre-IPO SPACs'!E512</f>
        <v/>
      </c>
      <c r="F511" s="97" t="str">
        <f>'Active and Pre-IPO SPACs'!F512</f>
        <v>Michael Jordaan (Former CEO of First National Bank, CEO of Montegray Capital, and Chairman of Bank Zero), Ryan Gilbert (General Partner at Propel Venture Partners)</v>
      </c>
      <c r="G511" s="98" t="str">
        <f>'Active and Pre-IPO SPACs'!P512</f>
        <v/>
      </c>
      <c r="H511" s="99">
        <f>'Active and Pre-IPO SPACs'!Q512</f>
        <v>200</v>
      </c>
      <c r="I511" s="100" t="str">
        <f>'Active and Pre-IPO SPACs'!M512</f>
        <v>U: [1/3 W]; W: [1:1, $11.5]</v>
      </c>
    </row>
    <row r="512">
      <c r="A512" s="103" t="str">
        <f>'Active and Pre-IPO SPACs'!A513</f>
        <v>NDAC</v>
      </c>
      <c r="B512" s="95" t="str">
        <f>'Active and Pre-IPO SPACs'!B513</f>
        <v>NightDragon Acquisition Corp.</v>
      </c>
      <c r="C512" s="95" t="str">
        <f>'Active and Pre-IPO SPACs'!C513</f>
        <v>Searching (Pre Unit Split)</v>
      </c>
      <c r="D512" s="101" t="str">
        <f>'Active and Pre-IPO SPACs'!D513</f>
        <v>Cybersecurity, Safety, Security and Privacy (CSSP)</v>
      </c>
      <c r="E512" s="96" t="str">
        <f>'Active and Pre-IPO SPACs'!E513</f>
        <v/>
      </c>
      <c r="F512" s="97" t="str">
        <f>'Active and Pre-IPO SPACs'!F513</f>
        <v>Dave DeWalt (Fmr Chairman/CEO, FireEye; Fmr CEO, McAfee), Mark Garrett (Fmr CFO, Adobe; Director, Cisco and Snowflake) </v>
      </c>
      <c r="G512" s="98">
        <f>'Active and Pre-IPO SPACs'!P513</f>
        <v>44256</v>
      </c>
      <c r="H512" s="99">
        <f>'Active and Pre-IPO SPACs'!Q513</f>
        <v>300</v>
      </c>
      <c r="I512" s="100" t="str">
        <f>'Active and Pre-IPO SPACs'!M513</f>
        <v>U: [1/5 W]; W: [1:1, $11.5]</v>
      </c>
    </row>
    <row r="513">
      <c r="A513" s="78" t="str">
        <f>'Active and Pre-IPO SPACs'!A514</f>
        <v>NEBC</v>
      </c>
      <c r="B513" s="95" t="str">
        <f>'Active and Pre-IPO SPACs'!B514</f>
        <v>Nebula Caravel Acquisition Corp.</v>
      </c>
      <c r="C513" s="95" t="str">
        <f>'Active and Pre-IPO SPACs'!C514</f>
        <v>Definitive Agreement</v>
      </c>
      <c r="D513" s="91" t="str">
        <f>'Active and Pre-IPO SPACs'!D514</f>
        <v>Tech</v>
      </c>
      <c r="E513" s="96" t="str">
        <f>'Active and Pre-IPO SPACs'!E514</f>
        <v>Rover [DA: 02/11/21]</v>
      </c>
      <c r="F513" s="97" t="str">
        <f>'Active and Pre-IPO SPACs'!F514</f>
        <v>Adam Clammer (Founding Partner, True Wind Capital), Scott Wagner (Fmr CEO, GoDaddy)</v>
      </c>
      <c r="G513" s="98">
        <f>'Active and Pre-IPO SPACs'!P514</f>
        <v>44173</v>
      </c>
      <c r="H513" s="99">
        <f>'Active and Pre-IPO SPACs'!Q514</f>
        <v>275</v>
      </c>
      <c r="I513" s="100" t="str">
        <f>'Active and Pre-IPO SPACs'!M514</f>
        <v>U: [1/5 W]; W: [1:1, $11.5]</v>
      </c>
    </row>
    <row r="514">
      <c r="A514" s="78" t="str">
        <f>'Active and Pre-IPO SPACs'!A515</f>
        <v>NGA</v>
      </c>
      <c r="B514" s="95" t="str">
        <f>'Active and Pre-IPO SPACs'!B515</f>
        <v>Northern Genesis Acquisition Corp.</v>
      </c>
      <c r="C514" s="95" t="str">
        <f>'Active and Pre-IPO SPACs'!C515</f>
        <v>Definitive Agreement</v>
      </c>
      <c r="D514" s="91" t="str">
        <f>'Active and Pre-IPO SPACs'!D515</f>
        <v>Sustainability, Societal Infrastructure</v>
      </c>
      <c r="E514" s="96" t="str">
        <f>'Active and Pre-IPO SPACs'!E515</f>
        <v>Lion Electric [DA: 11/30/20]</v>
      </c>
      <c r="F514" s="97" t="str">
        <f>'Active and Pre-IPO SPACs'!F515</f>
        <v/>
      </c>
      <c r="G514" s="98">
        <f>'Active and Pre-IPO SPACs'!P515</f>
        <v>44060</v>
      </c>
      <c r="H514" s="99">
        <f>'Active and Pre-IPO SPACs'!Q515</f>
        <v>319.45344</v>
      </c>
      <c r="I514" s="100" t="str">
        <f>'Active and Pre-IPO SPACs'!M515</f>
        <v>U: [1/2 W]; W: [1:1, $11.5]</v>
      </c>
    </row>
    <row r="515">
      <c r="A515" s="78" t="str">
        <f>'Active and Pre-IPO SPACs'!A516</f>
        <v>NGAB</v>
      </c>
      <c r="B515" s="95" t="str">
        <f>'Active and Pre-IPO SPACs'!B516</f>
        <v>Northern Genesis Acquisition Corp. II</v>
      </c>
      <c r="C515" s="95" t="str">
        <f>'Active and Pre-IPO SPACs'!C516</f>
        <v>Searching</v>
      </c>
      <c r="D515" s="91" t="str">
        <f>'Active and Pre-IPO SPACs'!D516</f>
        <v>Sustainability, Societal Infrastructure</v>
      </c>
      <c r="E515" s="96" t="str">
        <f>'Active and Pre-IPO SPACs'!E516</f>
        <v/>
      </c>
      <c r="F515" s="97" t="str">
        <f>'Active and Pre-IPO SPACs'!F516</f>
        <v>Michael Hoffman (Founder, Stone Capital Partners; Fmr Member Exec Committee, Blackstone)</v>
      </c>
      <c r="G515" s="98">
        <f>'Active and Pre-IPO SPACs'!P516</f>
        <v>44208</v>
      </c>
      <c r="H515" s="99">
        <f>'Active and Pre-IPO SPACs'!Q516</f>
        <v>414</v>
      </c>
      <c r="I515" s="100" t="str">
        <f>'Active and Pre-IPO SPACs'!M516</f>
        <v>U: [1/3 W]; W: [1:1, $11.5]</v>
      </c>
    </row>
    <row r="516">
      <c r="A516" s="78" t="str">
        <f>'Active and Pre-IPO SPACs'!A517</f>
        <v>NGAC</v>
      </c>
      <c r="B516" s="95" t="str">
        <f>'Active and Pre-IPO SPACs'!B517</f>
        <v>NextGen Acquisition Corporation</v>
      </c>
      <c r="C516" s="95" t="str">
        <f>'Active and Pre-IPO SPACs'!C517</f>
        <v>Definitive Agreement</v>
      </c>
      <c r="D516" s="91" t="str">
        <f>'Active and Pre-IPO SPACs'!D517</f>
        <v>Industrial, Healthcare</v>
      </c>
      <c r="E516" s="96" t="str">
        <f>'Active and Pre-IPO SPACs'!E517</f>
        <v>Xos [DA: 02/22/21]</v>
      </c>
      <c r="F516" s="97" t="str">
        <f>'Active and Pre-IPO SPACs'!F517</f>
        <v>George Mattson (Director, Delta Air Lines, Air France, Virgin Galactic), S. Sara Mathew (Fmr CEO, Dun &amp; Bradstreet), Gregory Summe (Fmr CEO, Perkin Elmer)</v>
      </c>
      <c r="G516" s="98">
        <f>'Active and Pre-IPO SPACs'!P517</f>
        <v>44110</v>
      </c>
      <c r="H516" s="99">
        <f>'Active and Pre-IPO SPACs'!Q517</f>
        <v>375</v>
      </c>
      <c r="I516" s="100" t="str">
        <f>'Active and Pre-IPO SPACs'!M517</f>
        <v>U: [1/3 W]; W: [1:1, $11.5]</v>
      </c>
    </row>
    <row r="517">
      <c r="A517" s="103" t="str">
        <f>'Active and Pre-IPO SPACs'!A518</f>
        <v>NGC</v>
      </c>
      <c r="B517" s="95" t="str">
        <f>'Active and Pre-IPO SPACs'!B518</f>
        <v>Northern Genesis Acquisition Corp. III</v>
      </c>
      <c r="C517" s="95" t="str">
        <f>'Active and Pre-IPO SPACs'!C518</f>
        <v>Searching (Pre Unit Split)</v>
      </c>
      <c r="D517" s="91" t="str">
        <f>'Active and Pre-IPO SPACs'!D518</f>
        <v>Sustainability, Societal Infrastructure</v>
      </c>
      <c r="E517" s="96" t="str">
        <f>'Active and Pre-IPO SPACs'!E518</f>
        <v/>
      </c>
      <c r="F517" s="97" t="str">
        <f>'Active and Pre-IPO SPACs'!F518</f>
        <v>Michael Hoffman (Founder, Stone Capital Partners; Fmr Member Exec Committee, Blackstone)</v>
      </c>
      <c r="G517" s="98">
        <f>'Active and Pre-IPO SPACs'!P518</f>
        <v>44278</v>
      </c>
      <c r="H517" s="99">
        <f>'Active and Pre-IPO SPACs'!Q518</f>
        <v>150</v>
      </c>
      <c r="I517" s="100" t="str">
        <f>'Active and Pre-IPO SPACs'!M518</f>
        <v>U: [1/4 W]; W: [1:1, $11.5]</v>
      </c>
    </row>
    <row r="518">
      <c r="A518" s="103" t="str">
        <f>'Active and Pre-IPO SPACs'!A519</f>
        <v>NGCA</v>
      </c>
      <c r="B518" s="95" t="str">
        <f>'Active and Pre-IPO SPACs'!B519</f>
        <v>NextGen Acquisition Corp. II</v>
      </c>
      <c r="C518" s="95" t="str">
        <f>'Active and Pre-IPO SPACs'!C519</f>
        <v>Searching (Pre Unit Split)</v>
      </c>
      <c r="D518" s="101" t="str">
        <f>'Active and Pre-IPO SPACs'!D519</f>
        <v>Industrial, Tech, and Healthcare</v>
      </c>
      <c r="E518" s="96" t="str">
        <f>'Active and Pre-IPO SPACs'!E519</f>
        <v/>
      </c>
      <c r="F518" s="97" t="str">
        <f>'Active and Pre-IPO SPACs'!F519</f>
        <v>George Mattson (Director of Delta Air Lines, Air France-KLM, and Virgin Galactic Holdings)</v>
      </c>
      <c r="G518" s="98">
        <f>'Active and Pre-IPO SPACs'!P519</f>
        <v>44277</v>
      </c>
      <c r="H518" s="99">
        <f>'Active and Pre-IPO SPACs'!Q519</f>
        <v>350</v>
      </c>
      <c r="I518" s="100" t="str">
        <f>'Active and Pre-IPO SPACs'!M519</f>
        <v>U: [1/5 W]; W: [1:1, $11.5]</v>
      </c>
    </row>
    <row r="519">
      <c r="A519" s="78" t="str">
        <f>'Active and Pre-IPO SPACs'!A520</f>
        <v>NHIC</v>
      </c>
      <c r="B519" s="95" t="str">
        <f>'Active and Pre-IPO SPACs'!B520</f>
        <v>NewHold Investment Corp</v>
      </c>
      <c r="C519" s="95" t="str">
        <f>'Active and Pre-IPO SPACs'!C520</f>
        <v>Definitive Agreement</v>
      </c>
      <c r="D519" s="91" t="str">
        <f>'Active and Pre-IPO SPACs'!D520</f>
        <v>Industrial Technology, $700M+</v>
      </c>
      <c r="E519" s="96" t="str">
        <f>'Active and Pre-IPO SPACs'!E520</f>
        <v>Evolv Technology [DA: 03/08/21]</v>
      </c>
      <c r="F519" s="97" t="str">
        <f>'Active and Pre-IPO SPACs'!F520</f>
        <v/>
      </c>
      <c r="G519" s="98">
        <f>'Active and Pre-IPO SPACs'!P520</f>
        <v>44043</v>
      </c>
      <c r="H519" s="99">
        <f>'Active and Pre-IPO SPACs'!Q520</f>
        <v>172.5</v>
      </c>
      <c r="I519" s="100" t="str">
        <f>'Active and Pre-IPO SPACs'!M520</f>
        <v>U: [1/2 W]; W: [1:1, $11.5]</v>
      </c>
    </row>
    <row r="520">
      <c r="A520" s="103" t="str">
        <f>'Active and Pre-IPO SPACs'!A521</f>
        <v>NHLD</v>
      </c>
      <c r="B520" s="95" t="str">
        <f>'Active and Pre-IPO SPACs'!B521</f>
        <v>NewHold Investment Corp. II</v>
      </c>
      <c r="C520" s="95" t="str">
        <f>'Active and Pre-IPO SPACs'!C521</f>
        <v>Pre IPO</v>
      </c>
      <c r="D520" s="101" t="str">
        <f>'Active and Pre-IPO SPACs'!D521</f>
        <v>Industrial Technology, $700M+</v>
      </c>
      <c r="E520" s="96" t="str">
        <f>'Active and Pre-IPO SPACs'!E521</f>
        <v/>
      </c>
      <c r="F520" s="97" t="str">
        <f>'Active and Pre-IPO SPACs'!F521</f>
        <v>Neil Glat (Former President of the New York Jets)</v>
      </c>
      <c r="G520" s="98" t="str">
        <f>'Active and Pre-IPO SPACs'!P521</f>
        <v/>
      </c>
      <c r="H520" s="99">
        <f>'Active and Pre-IPO SPACs'!Q521</f>
        <v>175</v>
      </c>
      <c r="I520" s="100" t="str">
        <f>'Active and Pre-IPO SPACs'!M521</f>
        <v>U: [1/4 W]; W: [1:1, $11.5]</v>
      </c>
    </row>
    <row r="521">
      <c r="A521" s="78" t="str">
        <f>'Active and Pre-IPO SPACs'!A522</f>
        <v>NMMC</v>
      </c>
      <c r="B521" s="95" t="str">
        <f>'Active and Pre-IPO SPACs'!B522</f>
        <v>North Mountain Merger Corp.</v>
      </c>
      <c r="C521" s="95" t="str">
        <f>'Active and Pre-IPO SPACs'!C522</f>
        <v>Searching</v>
      </c>
      <c r="D521" s="91" t="str">
        <f>'Active and Pre-IPO SPACs'!D522</f>
        <v>Fintech</v>
      </c>
      <c r="E521" s="96" t="str">
        <f>'Active and Pre-IPO SPACs'!E522</f>
        <v/>
      </c>
      <c r="F521" s="97" t="str">
        <f>'Active and Pre-IPO SPACs'!F522</f>
        <v>Charles Bernicker (CEO, South Mountain Merger Corp &amp; Former CFO, CardConnect)</v>
      </c>
      <c r="G521" s="98">
        <f>'Active and Pre-IPO SPACs'!P522</f>
        <v>44092</v>
      </c>
      <c r="H521" s="99">
        <f>'Active and Pre-IPO SPACs'!Q522</f>
        <v>132.25</v>
      </c>
      <c r="I521" s="100" t="str">
        <f>'Active and Pre-IPO SPACs'!M522</f>
        <v>U: [1/2 W]; W: [1:1, $11.5]</v>
      </c>
    </row>
    <row r="522">
      <c r="A522" s="78" t="str">
        <f>'Active and Pre-IPO SPACs'!A523</f>
        <v>NOAC</v>
      </c>
      <c r="B522" s="95" t="str">
        <f>'Active and Pre-IPO SPACs'!B523</f>
        <v>Natural Order Acquisition Corp</v>
      </c>
      <c r="C522" s="95" t="str">
        <f>'Active and Pre-IPO SPACs'!C523</f>
        <v>Searching</v>
      </c>
      <c r="D522" s="91" t="str">
        <f>'Active and Pre-IPO SPACs'!D523</f>
        <v>Sustainable plant-based food and nutrition Tech &amp; Products</v>
      </c>
      <c r="E522" s="96" t="str">
        <f>'Active and Pre-IPO SPACs'!E523</f>
        <v/>
      </c>
      <c r="F522" s="97" t="str">
        <f>'Active and Pre-IPO SPACs'!F523</f>
        <v/>
      </c>
      <c r="G522" s="98">
        <f>'Active and Pre-IPO SPACs'!P523</f>
        <v>44146</v>
      </c>
      <c r="H522" s="99">
        <f>'Active and Pre-IPO SPACs'!Q523</f>
        <v>230</v>
      </c>
      <c r="I522" s="100" t="str">
        <f>'Active and Pre-IPO SPACs'!M523</f>
        <v>U: [1 W]; W: [2:1, $11.5]</v>
      </c>
    </row>
    <row r="523">
      <c r="A523" s="78" t="str">
        <f>'Active and Pre-IPO SPACs'!A524</f>
        <v>NPA</v>
      </c>
      <c r="B523" s="95" t="str">
        <f>'Active and Pre-IPO SPACs'!B524</f>
        <v>New Providence Acquisition Corp</v>
      </c>
      <c r="C523" s="95" t="str">
        <f>'Active and Pre-IPO SPACs'!C524</f>
        <v>Completed</v>
      </c>
      <c r="D523" s="91" t="str">
        <f>'Active and Pre-IPO SPACs'!D524</f>
        <v>Consumer Goods</v>
      </c>
      <c r="E523" s="96" t="str">
        <f>'Active and Pre-IPO SPACs'!E524</f>
        <v>AST and Science [DA: 12/16/20]</v>
      </c>
      <c r="F523" s="97" t="str">
        <f>'Active and Pre-IPO SPACs'!F524</f>
        <v>Gary Smith (Fmr CEO, Big Red; Fmr COO Red Bull)</v>
      </c>
      <c r="G523" s="98">
        <f>'Active and Pre-IPO SPACs'!P524</f>
        <v>43719</v>
      </c>
      <c r="H523" s="99">
        <f>'Active and Pre-IPO SPACs'!Q524</f>
        <v>230</v>
      </c>
      <c r="I523" s="100" t="str">
        <f>'Active and Pre-IPO SPACs'!M524</f>
        <v>U: [1/2 W]; W: [1:1, $11.5]</v>
      </c>
    </row>
    <row r="524">
      <c r="A524" s="103" t="str">
        <f>'Active and Pre-IPO SPACs'!A525</f>
        <v>NPAB</v>
      </c>
      <c r="B524" s="95" t="str">
        <f>'Active and Pre-IPO SPACs'!B525</f>
        <v>New Providence Acquisition Corp. II</v>
      </c>
      <c r="C524" s="95" t="str">
        <f>'Active and Pre-IPO SPACs'!C525</f>
        <v>Pre IPO</v>
      </c>
      <c r="D524" s="101" t="str">
        <f>'Active and Pre-IPO SPACs'!D525</f>
        <v>Consumer</v>
      </c>
      <c r="E524" s="96" t="str">
        <f>'Active and Pre-IPO SPACs'!E525</f>
        <v/>
      </c>
      <c r="F524" s="97" t="str">
        <f>'Active and Pre-IPO SPACs'!F525</f>
        <v>Gary Smith (Former COO of Red Bull), Timothy Gannon (Co-Founder of Outback Steakhouse)</v>
      </c>
      <c r="G524" s="98" t="str">
        <f>'Active and Pre-IPO SPACs'!P525</f>
        <v/>
      </c>
      <c r="H524" s="99">
        <f>'Active and Pre-IPO SPACs'!Q525</f>
        <v>200</v>
      </c>
      <c r="I524" s="100" t="str">
        <f>'Active and Pre-IPO SPACs'!M525</f>
        <v>U: [1/3 W]; W: [1:1, $11.5]</v>
      </c>
    </row>
    <row r="525">
      <c r="A525" s="103" t="str">
        <f>'Active and Pre-IPO SPACs'!A526</f>
        <v>NPAC</v>
      </c>
      <c r="B525" s="95" t="str">
        <f>'Active and Pre-IPO SPACs'!B526</f>
        <v>New Providence Acquisition Corp. III</v>
      </c>
      <c r="C525" s="95" t="str">
        <f>'Active and Pre-IPO SPACs'!C526</f>
        <v>Pre IPO</v>
      </c>
      <c r="D525" s="101" t="str">
        <f>'Active and Pre-IPO SPACs'!D526</f>
        <v>Consumer</v>
      </c>
      <c r="E525" s="96" t="str">
        <f>'Active and Pre-IPO SPACs'!E526</f>
        <v/>
      </c>
      <c r="F525" s="97" t="str">
        <f>'Active and Pre-IPO SPACs'!F526</f>
        <v>Gary Smith (Former COO of Red Bull)</v>
      </c>
      <c r="G525" s="98" t="str">
        <f>'Active and Pre-IPO SPACs'!P526</f>
        <v/>
      </c>
      <c r="H525" s="99">
        <f>'Active and Pre-IPO SPACs'!Q526</f>
        <v>300</v>
      </c>
      <c r="I525" s="100" t="str">
        <f>'Active and Pre-IPO SPACs'!M526</f>
        <v>U: [1/3 W]; W: [1:1, $11.5]</v>
      </c>
    </row>
    <row r="526">
      <c r="A526" s="78" t="str">
        <f>'Active and Pre-IPO SPACs'!A527</f>
        <v>NRAC</v>
      </c>
      <c r="B526" s="95" t="str">
        <f>'Active and Pre-IPO SPACs'!B527</f>
        <v>Noble Rock Acquisition Corporation</v>
      </c>
      <c r="C526" s="95" t="str">
        <f>'Active and Pre-IPO SPACs'!C527</f>
        <v>Searching</v>
      </c>
      <c r="D526" s="91" t="str">
        <f>'Active and Pre-IPO SPACs'!D527</f>
        <v>Software, Tech</v>
      </c>
      <c r="E526" s="96" t="str">
        <f>'Active and Pre-IPO SPACs'!E527</f>
        <v/>
      </c>
      <c r="F526" s="97" t="str">
        <f>'Active and Pre-IPO SPACs'!F527</f>
        <v>David Habiger (CEO, J.D. Power; Director, GrubHub, and Stamps.com)</v>
      </c>
      <c r="G526" s="98">
        <f>'Active and Pre-IPO SPACs'!P527</f>
        <v>44228</v>
      </c>
      <c r="H526" s="99">
        <f>'Active and Pre-IPO SPACs'!Q527</f>
        <v>241.5</v>
      </c>
      <c r="I526" s="100" t="str">
        <f>'Active and Pre-IPO SPACs'!M527</f>
        <v>U: [1/3 W]; W: [1:1, $11.5]</v>
      </c>
    </row>
    <row r="527">
      <c r="A527" s="78" t="str">
        <f>'Active and Pre-IPO SPACs'!A528</f>
        <v>NSH</v>
      </c>
      <c r="B527" s="95" t="str">
        <f>'Active and Pre-IPO SPACs'!B528</f>
        <v>NavSight Holdings, Inc.</v>
      </c>
      <c r="C527" s="95" t="str">
        <f>'Active and Pre-IPO SPACs'!C528</f>
        <v>Definitive Agreement</v>
      </c>
      <c r="D527" s="91" t="str">
        <f>'Active and Pre-IPO SPACs'!D528</f>
        <v>Tech, US Government Vendors</v>
      </c>
      <c r="E527" s="96" t="str">
        <f>'Active and Pre-IPO SPACs'!E528</f>
        <v>Spire Global [DA: 03/01/21]</v>
      </c>
      <c r="F527" s="97" t="str">
        <f>'Active and Pre-IPO SPACs'!F528</f>
        <v/>
      </c>
      <c r="G527" s="98">
        <f>'Active and Pre-IPO SPACs'!P528</f>
        <v>44083</v>
      </c>
      <c r="H527" s="99">
        <f>'Active and Pre-IPO SPACs'!Q528</f>
        <v>230</v>
      </c>
      <c r="I527" s="100" t="str">
        <f>'Active and Pre-IPO SPACs'!M528</f>
        <v>U: [1/2 W]; W: [1:1, $11.5]</v>
      </c>
    </row>
    <row r="528">
      <c r="A528" s="78" t="str">
        <f>'Active and Pre-IPO SPACs'!A529</f>
        <v>NSTB</v>
      </c>
      <c r="B528" s="95" t="str">
        <f>'Active and Pre-IPO SPACs'!B529</f>
        <v>Northern Star Investment Corp. II</v>
      </c>
      <c r="C528" s="95" t="str">
        <f>'Active and Pre-IPO SPACs'!C529</f>
        <v>Definitive Agreement</v>
      </c>
      <c r="D528" s="91" t="str">
        <f>'Active and Pre-IPO SPACs'!D529</f>
        <v>Beauty, wellness, self-care, fashion, e-commerce, digital media</v>
      </c>
      <c r="E528" s="96" t="str">
        <f>'Active and Pre-IPO SPACs'!E529</f>
        <v>Apex Clearing [DA: 02/22/21]</v>
      </c>
      <c r="F528" s="97" t="str">
        <f>'Active and Pre-IPO SPACs'!F529</f>
        <v>Jonathan Ledecky (Co-owner New York Islanders; CEO, PIC), Joanna Coles (Fmr Editor-in-Chief, Cosmopolitan; Director, Snapchat and Sonos), Maryann Turcke (Fmr COO, NFL)</v>
      </c>
      <c r="G528" s="98">
        <f>'Active and Pre-IPO SPACs'!P529</f>
        <v>44221</v>
      </c>
      <c r="H528" s="99">
        <f>'Active and Pre-IPO SPACs'!Q529</f>
        <v>400</v>
      </c>
      <c r="I528" s="100" t="str">
        <f>'Active and Pre-IPO SPACs'!M529</f>
        <v>U: [1/5 W]; W: [1:1, $11.5]</v>
      </c>
    </row>
    <row r="529">
      <c r="A529" s="78" t="str">
        <f>'Active and Pre-IPO SPACs'!A530</f>
        <v>NSTC</v>
      </c>
      <c r="B529" s="95" t="str">
        <f>'Active and Pre-IPO SPACs'!B530</f>
        <v>Northern Star Investment Corp. III</v>
      </c>
      <c r="C529" s="95" t="str">
        <f>'Active and Pre-IPO SPACs'!C530</f>
        <v>Searching (Pre Unit Split)</v>
      </c>
      <c r="D529" s="101" t="str">
        <f>'Active and Pre-IPO SPACs'!D530</f>
        <v>Direct-to-Consumer, e-commerce</v>
      </c>
      <c r="E529" s="96" t="str">
        <f>'Active and Pre-IPO SPACs'!E530</f>
        <v/>
      </c>
      <c r="F529" s="97" t="str">
        <f>'Active and Pre-IPO SPACs'!F530</f>
        <v>Jonathan Ledecky (Co-owner New York Islanders; CEO, PIC), Joanna Coles (Fmr Editor-in-Chief, Cosmopolitan; Director, Snapchat and Sonos)
</v>
      </c>
      <c r="G529" s="98">
        <f>'Active and Pre-IPO SPACs'!P530</f>
        <v>44256</v>
      </c>
      <c r="H529" s="99">
        <f>'Active and Pre-IPO SPACs'!Q530</f>
        <v>350</v>
      </c>
      <c r="I529" s="100" t="str">
        <f>'Active and Pre-IPO SPACs'!M530</f>
        <v>U: [1/6 W]; W: [1:1, $11.5]</v>
      </c>
    </row>
    <row r="530">
      <c r="A530" s="78" t="str">
        <f>'Active and Pre-IPO SPACs'!A531</f>
        <v>NSTD</v>
      </c>
      <c r="B530" s="95" t="str">
        <f>'Active and Pre-IPO SPACs'!B531</f>
        <v>Northern Star Investment Corp. IV</v>
      </c>
      <c r="C530" s="95" t="str">
        <f>'Active and Pre-IPO SPACs'!C531</f>
        <v>Searching (Pre Unit Split)</v>
      </c>
      <c r="D530" s="101" t="str">
        <f>'Active and Pre-IPO SPACs'!D531</f>
        <v>Direct-to-Consumer, e-commerce</v>
      </c>
      <c r="E530" s="96" t="str">
        <f>'Active and Pre-IPO SPACs'!E531</f>
        <v/>
      </c>
      <c r="F530" s="97" t="str">
        <f>'Active and Pre-IPO SPACs'!F531</f>
        <v>Jonathan Ledecky (Co-owner New York Islanders; CEO, PIC), Joanna Coles (Fmr Editor-in-Chief, Cosmopolitan; Director, Snapchat and Sonos), Emily White (Fmr  COO, Snapchat; Director, Lulu Lemon), Kirsten Green (Founder/MP, Forerunner Ventures; Director, Nordstrom) </v>
      </c>
      <c r="G530" s="98">
        <f>'Active and Pre-IPO SPACs'!P531</f>
        <v>44256</v>
      </c>
      <c r="H530" s="99">
        <f>'Active and Pre-IPO SPACs'!Q531</f>
        <v>350</v>
      </c>
      <c r="I530" s="100" t="str">
        <f>'Active and Pre-IPO SPACs'!M531</f>
        <v>U: [1/6 W]; W: [1:1, $11.5]</v>
      </c>
    </row>
    <row r="531">
      <c r="A531" s="103" t="str">
        <f>'Active and Pre-IPO SPACs'!A532</f>
        <v>NTWO</v>
      </c>
      <c r="B531" s="95" t="str">
        <f>'Active and Pre-IPO SPACs'!B532</f>
        <v>N2 Acquisition Holdings Corp.</v>
      </c>
      <c r="C531" s="95" t="str">
        <f>'Active and Pre-IPO SPACs'!C532</f>
        <v>Pre IPO</v>
      </c>
      <c r="D531" s="91" t="str">
        <f>'Active and Pre-IPO SPACs'!D532</f>
        <v/>
      </c>
      <c r="E531" s="96" t="str">
        <f>'Active and Pre-IPO SPACs'!E532</f>
        <v/>
      </c>
      <c r="F531" s="97" t="str">
        <f>'Active and Pre-IPO SPACs'!F532</f>
        <v>Noam Gottesman (Co-founder &amp; Former CEO of GLG Partners and Founder &amp; Managing Director of Tom’s Capital), Sir Martin Franklin (Founder, Former Chairman &amp; CEO of Jarden, Former Director of Newell Brands, Burger King Worldwide, and Restaurant Brands International)</v>
      </c>
      <c r="G531" s="98" t="str">
        <f>'Active and Pre-IPO SPACs'!P532</f>
        <v/>
      </c>
      <c r="H531" s="99">
        <f>'Active and Pre-IPO SPACs'!Q532</f>
        <v>450</v>
      </c>
      <c r="I531" s="100" t="str">
        <f>'Active and Pre-IPO SPACs'!M532</f>
        <v>U: [1/4 W]; W: [1:1, $11.5]</v>
      </c>
    </row>
    <row r="532">
      <c r="A532" s="78" t="str">
        <f>'Active and Pre-IPO SPACs'!A533</f>
        <v>NVSA</v>
      </c>
      <c r="B532" s="95" t="str">
        <f>'Active and Pre-IPO SPACs'!B533</f>
        <v>New Vista Acquisition Corp</v>
      </c>
      <c r="C532" s="95" t="str">
        <f>'Active and Pre-IPO SPACs'!C533</f>
        <v>Searching</v>
      </c>
      <c r="D532" s="101" t="str">
        <f>'Active and Pre-IPO SPACs'!D533</f>
        <v>Aviation, Aerospace, Defense</v>
      </c>
      <c r="E532" s="96" t="str">
        <f>'Active and Pre-IPO SPACs'!E533</f>
        <v/>
      </c>
      <c r="F532" s="97" t="str">
        <f>'Active and Pre-IPO SPACs'!F533</f>
        <v>Dennis Muilenburg (Fmr CEO, Boeing), Marion Blakey (Fmr CEO, Rolls-Royce North America; Fmr Administrator, FAA), Lieut. Gen. Herbert Raymond McMaster (Retired US Army Lt General; Fmr US National Security Advisor to President Trump), Dr. John Tracy (Former CTO of Boeing), Paul Eremenko (CEO, Universal Hydrogen)</v>
      </c>
      <c r="G532" s="98">
        <f>'Active and Pre-IPO SPACs'!P533</f>
        <v>44243</v>
      </c>
      <c r="H532" s="99">
        <f>'Active and Pre-IPO SPACs'!Q533</f>
        <v>276</v>
      </c>
      <c r="I532" s="100" t="str">
        <f>'Active and Pre-IPO SPACs'!M533</f>
        <v>U: [1/3 W]; W: [1:1, $11.5]</v>
      </c>
    </row>
    <row r="533">
      <c r="A533" s="78" t="str">
        <f>'Active and Pre-IPO SPACs'!A534</f>
        <v>NXU</v>
      </c>
      <c r="B533" s="95" t="str">
        <f>'Active and Pre-IPO SPACs'!B534</f>
        <v>Novus Capital Corporation II</v>
      </c>
      <c r="C533" s="95" t="str">
        <f>'Active and Pre-IPO SPACs'!C534</f>
        <v>Searching</v>
      </c>
      <c r="D533" s="91" t="str">
        <f>'Active and Pre-IPO SPACs'!D534</f>
        <v>Smart Tech, 5G communication, VR, AI, Cloud, Machine Learning, Smart City, AgTech</v>
      </c>
      <c r="E533" s="96" t="str">
        <f>'Active and Pre-IPO SPACs'!E534</f>
        <v/>
      </c>
      <c r="F533" s="97" t="str">
        <f>'Active and Pre-IPO SPACs'!F534</f>
        <v>Robert Laikin (Founder of L7 Investments and Chairman of Washington Prime Group), Larry Paulson (Former VP of Product Mgmt of Qualcomm)</v>
      </c>
      <c r="G533" s="98">
        <f>'Active and Pre-IPO SPACs'!P534</f>
        <v>44230</v>
      </c>
      <c r="H533" s="99">
        <f>'Active and Pre-IPO SPACs'!Q534</f>
        <v>287.5</v>
      </c>
      <c r="I533" s="100" t="str">
        <f>'Active and Pre-IPO SPACs'!M534</f>
        <v>U: [1/3 W]; W: [1:1, $11.5]</v>
      </c>
    </row>
    <row r="534">
      <c r="A534" s="103" t="str">
        <f>'Active and Pre-IPO SPACs'!A535</f>
        <v>OACA</v>
      </c>
      <c r="B534" s="95" t="str">
        <f>'Active and Pre-IPO SPACs'!B535</f>
        <v>Ocelot Acquisition Corp I</v>
      </c>
      <c r="C534" s="95" t="str">
        <f>'Active and Pre-IPO SPACs'!C535</f>
        <v>Pre IPO</v>
      </c>
      <c r="D534" s="101" t="str">
        <f>'Active and Pre-IPO SPACs'!D535</f>
        <v>E-commerce, Transportation, Logistics, LogTech</v>
      </c>
      <c r="E534" s="96" t="str">
        <f>'Active and Pre-IPO SPACs'!E535</f>
        <v/>
      </c>
      <c r="F534" s="97" t="str">
        <f>'Active and Pre-IPO SPACs'!F535</f>
        <v>Dick Metzler (Fmr CMO, uShip)</v>
      </c>
      <c r="G534" s="98" t="str">
        <f>'Active and Pre-IPO SPACs'!P535</f>
        <v/>
      </c>
      <c r="H534" s="99">
        <f>'Active and Pre-IPO SPACs'!Q535</f>
        <v>200</v>
      </c>
      <c r="I534" s="100" t="str">
        <f>'Active and Pre-IPO SPACs'!M535</f>
        <v>U: [1/2 W]; W: [1:1, $11.5]</v>
      </c>
    </row>
    <row r="535">
      <c r="A535" s="78" t="str">
        <f>'Active and Pre-IPO SPACs'!A536</f>
        <v>OACB</v>
      </c>
      <c r="B535" s="95" t="str">
        <f>'Active and Pre-IPO SPACs'!B536</f>
        <v>Oaktree Acquisition Corp. II</v>
      </c>
      <c r="C535" s="95" t="str">
        <f>'Active and Pre-IPO SPACs'!C536</f>
        <v>Searching</v>
      </c>
      <c r="D535" s="91" t="str">
        <f>'Active and Pre-IPO SPACs'!D536</f>
        <v>Industrial, Consumer</v>
      </c>
      <c r="E535" s="96" t="str">
        <f>'Active and Pre-IPO SPACs'!E536</f>
        <v/>
      </c>
      <c r="F535" s="97" t="str">
        <f>'Active and Pre-IPO SPACs'!F536</f>
        <v>Paul Meister (Former Exec Vice Chairman, Revlon; Chairman Thermo Fisher)</v>
      </c>
      <c r="G535" s="98">
        <f>'Active and Pre-IPO SPACs'!P536</f>
        <v>44090</v>
      </c>
      <c r="H535" s="99">
        <f>'Active and Pre-IPO SPACs'!Q536</f>
        <v>250</v>
      </c>
      <c r="I535" s="100" t="str">
        <f>'Active and Pre-IPO SPACs'!M536</f>
        <v>U: [1/4 W]; W: [1:1, $11.5]</v>
      </c>
    </row>
    <row r="536">
      <c r="A536" s="103" t="str">
        <f>'Active and Pre-IPO SPACs'!A537</f>
        <v>OACC</v>
      </c>
      <c r="B536" s="95" t="str">
        <f>'Active and Pre-IPO SPACs'!B537</f>
        <v>Oaktree Acquisition Corp. III</v>
      </c>
      <c r="C536" s="95" t="str">
        <f>'Active and Pre-IPO SPACs'!C537</f>
        <v>Pre IPO</v>
      </c>
      <c r="D536" s="91" t="str">
        <f>'Active and Pre-IPO SPACs'!D537</f>
        <v>Industrial, Consumer</v>
      </c>
      <c r="E536" s="96" t="str">
        <f>'Active and Pre-IPO SPACs'!E537</f>
        <v/>
      </c>
      <c r="F536" s="97" t="str">
        <f>'Active and Pre-IPO SPACs'!F537</f>
        <v/>
      </c>
      <c r="G536" s="98" t="str">
        <f>'Active and Pre-IPO SPACs'!P537</f>
        <v/>
      </c>
      <c r="H536" s="99">
        <f>'Active and Pre-IPO SPACs'!Q537</f>
        <v>325</v>
      </c>
      <c r="I536" s="100" t="str">
        <f>'Active and Pre-IPO SPACs'!M537</f>
        <v>U: [1/5 W]; W: [1:1, $11.5]</v>
      </c>
    </row>
    <row r="537">
      <c r="A537" s="78" t="str">
        <f>'Active and Pre-IPO SPACs'!A538</f>
        <v>OCA</v>
      </c>
      <c r="B537" s="95" t="str">
        <f>'Active and Pre-IPO SPACs'!B538</f>
        <v>Omnichannel Acquisition Corp.</v>
      </c>
      <c r="C537" s="95" t="str">
        <f>'Active and Pre-IPO SPACs'!C538</f>
        <v>Searching</v>
      </c>
      <c r="D537" s="91" t="str">
        <f>'Active and Pre-IPO SPACs'!D538</f>
        <v>“Omnichannel” - technology-enabled cross-channel retail and consumer services</v>
      </c>
      <c r="E537" s="96" t="str">
        <f>'Active and Pre-IPO SPACs'!E538</f>
        <v/>
      </c>
      <c r="F537" s="97" t="str">
        <f>'Active and Pre-IPO SPACs'!F538</f>
        <v>Matt Higgins (Co-Founder, RSE Ventures; Director, Momofuku, VaynerMedia), Bobbi Brown (Founder, Bobbi Brown Cosmetics), Albert Carey (Fmr CEO, PepsiCo orth America; Director, The Home Depot), Mark Gerson (Co-founder, GLG)</v>
      </c>
      <c r="G537" s="98">
        <f>'Active and Pre-IPO SPACs'!P538</f>
        <v>44155</v>
      </c>
      <c r="H537" s="99">
        <f>'Active and Pre-IPO SPACs'!Q538</f>
        <v>206.5</v>
      </c>
      <c r="I537" s="100" t="str">
        <f>'Active and Pre-IPO SPACs'!M538</f>
        <v>U: [1/2 W]; W: [1:1, $11.5]</v>
      </c>
    </row>
    <row r="538">
      <c r="A538" s="78" t="str">
        <f>'Active and Pre-IPO SPACs'!A539</f>
        <v>OCAX</v>
      </c>
      <c r="B538" s="95" t="str">
        <f>'Active and Pre-IPO SPACs'!B539</f>
        <v>OCA Acquisition Corp.</v>
      </c>
      <c r="C538" s="95" t="str">
        <f>'Active and Pre-IPO SPACs'!C539</f>
        <v>Searching</v>
      </c>
      <c r="D538" s="91" t="str">
        <f>'Active and Pre-IPO SPACs'!D539</f>
        <v>Tech-enabled (healthcare &amp; education), Financial services</v>
      </c>
      <c r="E538" s="96" t="str">
        <f>'Active and Pre-IPO SPACs'!E539</f>
        <v/>
      </c>
      <c r="F538" s="97" t="str">
        <f>'Active and Pre-IPO SPACs'!F539</f>
        <v/>
      </c>
      <c r="G538" s="98">
        <f>'Active and Pre-IPO SPACs'!P539</f>
        <v>44210</v>
      </c>
      <c r="H538" s="99">
        <f>'Active and Pre-IPO SPACs'!Q539</f>
        <v>151.7425</v>
      </c>
      <c r="I538" s="100" t="str">
        <f>'Active and Pre-IPO SPACs'!M539</f>
        <v>U: [1/2 W]; W: [1:1, $11.5]</v>
      </c>
    </row>
    <row r="539">
      <c r="A539" s="103" t="str">
        <f>'Active and Pre-IPO SPACs'!A540</f>
        <v>ODAC</v>
      </c>
      <c r="B539" s="95" t="str">
        <f>'Active and Pre-IPO SPACs'!B540</f>
        <v>Ocean Drive Acquisition Corp.</v>
      </c>
      <c r="C539" s="95" t="str">
        <f>'Active and Pre-IPO SPACs'!C540</f>
        <v>Pre IPO</v>
      </c>
      <c r="D539" s="101" t="str">
        <f>'Active and Pre-IPO SPACs'!D540</f>
        <v>Real estate including gaming and lodging, PropTech</v>
      </c>
      <c r="E539" s="96" t="str">
        <f>'Active and Pre-IPO SPACs'!E540</f>
        <v/>
      </c>
      <c r="F539" s="97" t="str">
        <f>'Active and Pre-IPO SPACs'!F540</f>
        <v>Howard Lorber (CEO of Vector Group; Exec Chairman, Nathan's Famous), Mark Lawrence (Co-founder/CEO, SpotHero)</v>
      </c>
      <c r="G539" s="98" t="str">
        <f>'Active and Pre-IPO SPACs'!P540</f>
        <v/>
      </c>
      <c r="H539" s="99">
        <f>'Active and Pre-IPO SPACs'!Q540</f>
        <v>250</v>
      </c>
      <c r="I539" s="100" t="str">
        <f>'Active and Pre-IPO SPACs'!M540</f>
        <v>U: [1/3 W]; W: [1:1, $11.5]</v>
      </c>
    </row>
    <row r="540">
      <c r="A540" s="78" t="str">
        <f>'Active and Pre-IPO SPACs'!A541</f>
        <v>OEPW</v>
      </c>
      <c r="B540" s="95" t="str">
        <f>'Active and Pre-IPO SPACs'!B541</f>
        <v>One Equity Partners Open Water I Corp.</v>
      </c>
      <c r="C540" s="95" t="str">
        <f>'Active and Pre-IPO SPACs'!C541</f>
        <v>Searching</v>
      </c>
      <c r="D540" s="91" t="str">
        <f>'Active and Pre-IPO SPACs'!D541</f>
        <v>Tech, Healthcare, and Specialty Industrials</v>
      </c>
      <c r="E540" s="96" t="str">
        <f>'Active and Pre-IPO SPACs'!E541</f>
        <v/>
      </c>
      <c r="F540" s="97" t="str">
        <f>'Active and Pre-IPO SPACs'!F541</f>
        <v>Todd Bradley (Operating Partner, OEP Capital Advisors; Fmr President, TIBCO Software; Director, Mattel, Kodak)</v>
      </c>
      <c r="G540" s="98">
        <f>'Active and Pre-IPO SPACs'!P541</f>
        <v>44217</v>
      </c>
      <c r="H540" s="99">
        <f>'Active and Pre-IPO SPACs'!Q541</f>
        <v>345</v>
      </c>
      <c r="I540" s="100" t="str">
        <f>'Active and Pre-IPO SPACs'!M541</f>
        <v>U: [1/3 W]; W: [1:1, $11.5]</v>
      </c>
    </row>
    <row r="541">
      <c r="A541" s="103" t="str">
        <f>'Active and Pre-IPO SPACs'!A542</f>
        <v>OHPA</v>
      </c>
      <c r="B541" s="95" t="str">
        <f>'Active and Pre-IPO SPACs'!B542</f>
        <v>Orion Acquisition Corp.</v>
      </c>
      <c r="C541" s="95" t="str">
        <f>'Active and Pre-IPO SPACs'!C542</f>
        <v>Searching (Pre Unit Split)</v>
      </c>
      <c r="D541" s="101" t="str">
        <f>'Active and Pre-IPO SPACs'!D542</f>
        <v>Healthcare</v>
      </c>
      <c r="E541" s="96" t="str">
        <f>'Active and Pre-IPO SPACs'!E542</f>
        <v/>
      </c>
      <c r="F541" s="97" t="str">
        <f>'Active and Pre-IPO SPACs'!F542</f>
        <v/>
      </c>
      <c r="G541" s="98">
        <f>'Active and Pre-IPO SPACs'!P542</f>
        <v>44256</v>
      </c>
      <c r="H541" s="99">
        <f>'Active and Pre-IPO SPACs'!Q542</f>
        <v>414</v>
      </c>
      <c r="I541" s="100" t="str">
        <f>'Active and Pre-IPO SPACs'!M542</f>
        <v>U: [1/4 W]; W: [1:1, $11.5]</v>
      </c>
    </row>
    <row r="542">
      <c r="A542" s="78" t="str">
        <f>'Active and Pre-IPO SPACs'!A543</f>
        <v>OMEG</v>
      </c>
      <c r="B542" s="95" t="str">
        <f>'Active and Pre-IPO SPACs'!B543</f>
        <v>Omega Alpha SPAC</v>
      </c>
      <c r="C542" s="95" t="str">
        <f>'Active and Pre-IPO SPACs'!C543</f>
        <v>Searching</v>
      </c>
      <c r="D542" s="91" t="str">
        <f>'Active and Pre-IPO SPACs'!D543</f>
        <v>Healthcare</v>
      </c>
      <c r="E542" s="96" t="str">
        <f>'Active and Pre-IPO SPACs'!E543</f>
        <v/>
      </c>
      <c r="F542" s="97" t="str">
        <f>'Active and Pre-IPO SPACs'!F543</f>
        <v/>
      </c>
      <c r="G542" s="98">
        <f>'Active and Pre-IPO SPACs'!P543</f>
        <v>44202</v>
      </c>
      <c r="H542" s="99">
        <f>'Active and Pre-IPO SPACs'!Q543</f>
        <v>138</v>
      </c>
      <c r="I542" s="100" t="str">
        <f>'Active and Pre-IPO SPACs'!M543</f>
        <v>U: [No units]; W: [No warrants]</v>
      </c>
    </row>
    <row r="543">
      <c r="A543" s="103" t="str">
        <f>'Active and Pre-IPO SPACs'!A544</f>
        <v>ONS</v>
      </c>
      <c r="B543" s="95" t="str">
        <f>'Active and Pre-IPO SPACs'!B544</f>
        <v>ONS Acquisition Corp.</v>
      </c>
      <c r="C543" s="95" t="str">
        <f>'Active and Pre-IPO SPACs'!C544</f>
        <v>Pre IPO</v>
      </c>
      <c r="D543" s="91" t="str">
        <f>'Active and Pre-IPO SPACs'!D544</f>
        <v/>
      </c>
      <c r="E543" s="96" t="str">
        <f>'Active and Pre-IPO SPACs'!E544</f>
        <v/>
      </c>
      <c r="F543" s="97" t="str">
        <f>'Active and Pre-IPO SPACs'!F544</f>
        <v/>
      </c>
      <c r="G543" s="98" t="str">
        <f>'Active and Pre-IPO SPACs'!P544</f>
        <v/>
      </c>
      <c r="H543" s="99">
        <f>'Active and Pre-IPO SPACs'!Q544</f>
        <v>200</v>
      </c>
      <c r="I543" s="100" t="str">
        <f>'Active and Pre-IPO SPACs'!M544</f>
        <v>U: [1/2 W]; W: [1:1, $11.5]</v>
      </c>
    </row>
    <row r="544">
      <c r="A544" s="103" t="str">
        <f>'Active and Pre-IPO SPACs'!A545</f>
        <v>OPA</v>
      </c>
      <c r="B544" s="95" t="str">
        <f>'Active and Pre-IPO SPACs'!B545</f>
        <v>Magnum Opus Acquisition Ltd</v>
      </c>
      <c r="C544" s="95" t="str">
        <f>'Active and Pre-IPO SPACs'!C545</f>
        <v>Searching (Pre Unit Split)</v>
      </c>
      <c r="D544" s="91" t="str">
        <f>'Active and Pre-IPO SPACs'!D545</f>
        <v>Consumer, Tech, Media, can benefit from ops in Asia</v>
      </c>
      <c r="E544" s="96" t="str">
        <f>'Active and Pre-IPO SPACs'!E545</f>
        <v/>
      </c>
      <c r="F544" s="97" t="str">
        <f>'Active and Pre-IPO SPACs'!F545</f>
        <v/>
      </c>
      <c r="G544" s="98">
        <f>'Active and Pre-IPO SPACs'!P545</f>
        <v>44278</v>
      </c>
      <c r="H544" s="99">
        <f>'Active and Pre-IPO SPACs'!Q545</f>
        <v>200</v>
      </c>
      <c r="I544" s="100" t="str">
        <f>'Active and Pre-IPO SPACs'!M545</f>
        <v>U: [1/2 W]; W: [1:1, $11.5]</v>
      </c>
    </row>
    <row r="545">
      <c r="A545" s="103" t="str">
        <f>'Active and Pre-IPO SPACs'!A546</f>
        <v>OPOT</v>
      </c>
      <c r="B545" s="95" t="str">
        <f>'Active and Pre-IPO SPACs'!B546</f>
        <v>1.12 Acquisition Corp</v>
      </c>
      <c r="C545" s="95" t="str">
        <f>'Active and Pre-IPO SPACs'!C546</f>
        <v>Pre IPO</v>
      </c>
      <c r="D545" s="91" t="str">
        <f>'Active and Pre-IPO SPACs'!D546</f>
        <v>Financial services, technology, software, data, analytics, asset management, internet related services</v>
      </c>
      <c r="E545" s="96" t="str">
        <f>'Active and Pre-IPO SPACs'!E546</f>
        <v/>
      </c>
      <c r="F545" s="97" t="str">
        <f>'Active and Pre-IPO SPACs'!F546</f>
        <v>Frank Martire, Jr. (Executive Chairman of NCR, Director of Cannae Holdings, and Former Chairman &amp; CEO of FIS Global)</v>
      </c>
      <c r="G545" s="98" t="str">
        <f>'Active and Pre-IPO SPACs'!P546</f>
        <v/>
      </c>
      <c r="H545" s="99">
        <f>'Active and Pre-IPO SPACs'!Q546</f>
        <v>350</v>
      </c>
      <c r="I545" s="100" t="str">
        <f>'Active and Pre-IPO SPACs'!M546</f>
        <v>U: [1/4 W]; W: [1:1, $11.5]</v>
      </c>
    </row>
    <row r="546">
      <c r="A546" s="103" t="str">
        <f>'Active and Pre-IPO SPACs'!A547</f>
        <v>ORIA</v>
      </c>
      <c r="B546" s="95" t="str">
        <f>'Active and Pre-IPO SPACs'!B547</f>
        <v>Orion Biotech Opportunities Corp.</v>
      </c>
      <c r="C546" s="95" t="str">
        <f>'Active and Pre-IPO SPACs'!C547</f>
        <v>Pre IPO</v>
      </c>
      <c r="D546" s="101" t="str">
        <f>'Active and Pre-IPO SPACs'!D547</f>
        <v>Biotech, Life Sciences</v>
      </c>
      <c r="E546" s="96" t="str">
        <f>'Active and Pre-IPO SPACs'!E547</f>
        <v/>
      </c>
      <c r="F546" s="97" t="str">
        <f>'Active and Pre-IPO SPACs'!F547</f>
        <v>James Huang (Founding Managing Partner of Panacea), MSD Capital (Michael Dell’s family office) and Panacea</v>
      </c>
      <c r="G546" s="98" t="str">
        <f>'Active and Pre-IPO SPACs'!P547</f>
        <v/>
      </c>
      <c r="H546" s="99">
        <f>'Active and Pre-IPO SPACs'!Q547</f>
        <v>200</v>
      </c>
      <c r="I546" s="100" t="str">
        <f>'Active and Pre-IPO SPACs'!M547</f>
        <v>U: [1/5 W]; W: [1:1, $11.5]</v>
      </c>
    </row>
    <row r="547">
      <c r="A547" s="103" t="str">
        <f>'Active and Pre-IPO SPACs'!A548</f>
        <v>OSAA</v>
      </c>
      <c r="B547" s="95" t="str">
        <f>'Active and Pre-IPO SPACs'!B548</f>
        <v>OS Acquisition Corp.</v>
      </c>
      <c r="C547" s="95" t="str">
        <f>'Active and Pre-IPO SPACs'!C548</f>
        <v>Pre IPO</v>
      </c>
      <c r="D547" s="101" t="str">
        <f>'Active and Pre-IPO SPACs'!D548</f>
        <v>Healthcare Tech</v>
      </c>
      <c r="E547" s="96" t="str">
        <f>'Active and Pre-IPO SPACs'!E548</f>
        <v/>
      </c>
      <c r="F547" s="97" t="str">
        <f>'Active and Pre-IPO SPACs'!F548</f>
        <v>Jeff Klunzinger (Co-founder/GP, OS Fund)</v>
      </c>
      <c r="G547" s="98" t="str">
        <f>'Active and Pre-IPO SPACs'!P548</f>
        <v/>
      </c>
      <c r="H547" s="99">
        <f>'Active and Pre-IPO SPACs'!Q548</f>
        <v>150</v>
      </c>
      <c r="I547" s="100" t="str">
        <f>'Active and Pre-IPO SPACs'!M548</f>
        <v>U: [1/3 W]; W: [1:1, $11.5]</v>
      </c>
    </row>
    <row r="548">
      <c r="A548" s="103" t="str">
        <f>'Active and Pre-IPO SPACs'!A549</f>
        <v>OSI</v>
      </c>
      <c r="B548" s="95" t="str">
        <f>'Active and Pre-IPO SPACs'!B549</f>
        <v>Osiris Acquisition Corp.</v>
      </c>
      <c r="C548" s="95" t="str">
        <f>'Active and Pre-IPO SPACs'!C549</f>
        <v>Pre IPO</v>
      </c>
      <c r="D548" s="91" t="str">
        <f>'Active and Pre-IPO SPACs'!D549</f>
        <v>Consumer, Retail, and Leisure</v>
      </c>
      <c r="E548" s="96" t="str">
        <f>'Active and Pre-IPO SPACs'!E549</f>
        <v/>
      </c>
      <c r="F548" s="97" t="str">
        <f>'Active and Pre-IPO SPACs'!F549</f>
        <v>Omar Johnson (Former CMO of Beats by Dr. Dre), Dhiren Fonseca  (Former Chief Commercial Officer of Expedia, and Director of Alaska Air Group)</v>
      </c>
      <c r="G548" s="98" t="str">
        <f>'Active and Pre-IPO SPACs'!P549</f>
        <v/>
      </c>
      <c r="H548" s="99">
        <f>'Active and Pre-IPO SPACs'!Q549</f>
        <v>250</v>
      </c>
      <c r="I548" s="100" t="str">
        <f>'Active and Pre-IPO SPACs'!M549</f>
        <v>U: [1/2 W]; W: [1:1, $11.5]</v>
      </c>
    </row>
    <row r="549">
      <c r="A549" s="78" t="str">
        <f>'Active and Pre-IPO SPACs'!A550</f>
        <v>OSTR</v>
      </c>
      <c r="B549" s="95" t="str">
        <f>'Active and Pre-IPO SPACs'!B550</f>
        <v>Oyster Enterprises Acquisition Corp.</v>
      </c>
      <c r="C549" s="95" t="str">
        <f>'Active and Pre-IPO SPACs'!C550</f>
        <v>Searching</v>
      </c>
      <c r="D549" s="91" t="str">
        <f>'Active and Pre-IPO SPACs'!D550</f>
        <v/>
      </c>
      <c r="E549" s="96" t="str">
        <f>'Active and Pre-IPO SPACs'!E550</f>
        <v/>
      </c>
      <c r="F549" s="97" t="str">
        <f>'Active and Pre-IPO SPACs'!F550</f>
        <v>Heath Freeman (Co-founder/President, Alden Global)</v>
      </c>
      <c r="G549" s="98">
        <f>'Active and Pre-IPO SPACs'!P550</f>
        <v>44215</v>
      </c>
      <c r="H549" s="99">
        <f>'Active and Pre-IPO SPACs'!Q550</f>
        <v>200</v>
      </c>
      <c r="I549" s="100" t="str">
        <f>'Active and Pre-IPO SPACs'!M550</f>
        <v>U: [1/2 W]; W: [1:1, $11.5]</v>
      </c>
    </row>
    <row r="550">
      <c r="A550" s="103" t="str">
        <f>'Active and Pre-IPO SPACs'!A551</f>
        <v>OTEC</v>
      </c>
      <c r="B550" s="95" t="str">
        <f>'Active and Pre-IPO SPACs'!B551</f>
        <v>OceanTech Acquisitions I Corp.</v>
      </c>
      <c r="C550" s="95" t="str">
        <f>'Active and Pre-IPO SPACs'!C551</f>
        <v>Pre IPO</v>
      </c>
      <c r="D550" s="91" t="str">
        <f>'Active and Pre-IPO SPACs'!D551</f>
        <v/>
      </c>
      <c r="E550" s="96" t="str">
        <f>'Active and Pre-IPO SPACs'!E551</f>
        <v/>
      </c>
      <c r="F550" s="97" t="str">
        <f>'Active and Pre-IPO SPACs'!F551</f>
        <v/>
      </c>
      <c r="G550" s="98" t="str">
        <f>'Active and Pre-IPO SPACs'!P551</f>
        <v/>
      </c>
      <c r="H550" s="99">
        <f>'Active and Pre-IPO SPACs'!Q551</f>
        <v>100</v>
      </c>
      <c r="I550" s="100" t="str">
        <f>'Active and Pre-IPO SPACs'!M551</f>
        <v>U: [1/2 W]; W: [1:1, $11.5]</v>
      </c>
    </row>
    <row r="551">
      <c r="A551" s="103" t="str">
        <f>'Active and Pre-IPO SPACs'!A552</f>
        <v>OTII</v>
      </c>
      <c r="B551" s="95" t="str">
        <f>'Active and Pre-IPO SPACs'!B552</f>
        <v>Osprey Technology Acquisition Corp. II</v>
      </c>
      <c r="C551" s="95" t="str">
        <f>'Active and Pre-IPO SPACs'!C552</f>
        <v>Pre IPO</v>
      </c>
      <c r="D551" s="91" t="str">
        <f>'Active and Pre-IPO SPACs'!D552</f>
        <v/>
      </c>
      <c r="E551" s="96" t="str">
        <f>'Active and Pre-IPO SPACs'!E552</f>
        <v/>
      </c>
      <c r="F551" s="97" t="str">
        <f>'Active and Pre-IPO SPACs'!F552</f>
        <v/>
      </c>
      <c r="G551" s="98" t="str">
        <f>'Active and Pre-IPO SPACs'!P552</f>
        <v/>
      </c>
      <c r="H551" s="99">
        <f>'Active and Pre-IPO SPACs'!Q552</f>
        <v>325</v>
      </c>
      <c r="I551" s="100" t="str">
        <f>'Active and Pre-IPO SPACs'!M552</f>
        <v>U: [1/4 W]; W: [1:1, $11.5]</v>
      </c>
    </row>
    <row r="552">
      <c r="A552" s="78" t="str">
        <f>'Active and Pre-IPO SPACs'!A553</f>
        <v>OTRA</v>
      </c>
      <c r="B552" s="95" t="str">
        <f>'Active and Pre-IPO SPACs'!B553</f>
        <v>OTR Acquisition Corp.</v>
      </c>
      <c r="C552" s="95" t="str">
        <f>'Active and Pre-IPO SPACs'!C553</f>
        <v>Searching</v>
      </c>
      <c r="D552" s="91" t="str">
        <f>'Active and Pre-IPO SPACs'!D553</f>
        <v/>
      </c>
      <c r="E552" s="96" t="str">
        <f>'Active and Pre-IPO SPACs'!E553</f>
        <v/>
      </c>
      <c r="F552" s="97" t="str">
        <f>'Active and Pre-IPO SPACs'!F553</f>
        <v/>
      </c>
      <c r="G552" s="98">
        <f>'Active and Pre-IPO SPACs'!P553</f>
        <v>44152</v>
      </c>
      <c r="H552" s="99">
        <f>'Active and Pre-IPO SPACs'!Q553</f>
        <v>107.085337</v>
      </c>
      <c r="I552" s="100" t="str">
        <f>'Active and Pre-IPO SPACs'!M553</f>
        <v>U: [1/2 W]; W: [1:1, $11.5]</v>
      </c>
    </row>
    <row r="553">
      <c r="A553" s="103" t="str">
        <f>'Active and Pre-IPO SPACs'!A554</f>
        <v>OUTR</v>
      </c>
      <c r="B553" s="95" t="str">
        <f>'Active and Pre-IPO SPACs'!B554</f>
        <v>Space Acquisition Corp. I</v>
      </c>
      <c r="C553" s="95" t="str">
        <f>'Active and Pre-IPO SPACs'!C554</f>
        <v>Pre IPO</v>
      </c>
      <c r="D553" s="101" t="str">
        <f>'Active and Pre-IPO SPACs'!D554</f>
        <v>Space Economy</v>
      </c>
      <c r="E553" s="96" t="str">
        <f>'Active and Pre-IPO SPACs'!E554</f>
        <v/>
      </c>
      <c r="F553" s="97" t="str">
        <f>'Active and Pre-IPO SPACs'!F554</f>
        <v>Raphael Roettgen (Founder of E2MC)</v>
      </c>
      <c r="G553" s="98" t="str">
        <f>'Active and Pre-IPO SPACs'!P554</f>
        <v/>
      </c>
      <c r="H553" s="99">
        <f>'Active and Pre-IPO SPACs'!Q554</f>
        <v>300</v>
      </c>
      <c r="I553" s="100" t="str">
        <f>'Active and Pre-IPO SPACs'!M554</f>
        <v>U: [1/3 W]; W: [1:1, $11.5]</v>
      </c>
    </row>
    <row r="554">
      <c r="A554" s="78" t="str">
        <f>'Active and Pre-IPO SPACs'!A555</f>
        <v>PACE</v>
      </c>
      <c r="B554" s="95" t="str">
        <f>'Active and Pre-IPO SPACs'!B555</f>
        <v>TPG Pace Tech Opportunities Corp.</v>
      </c>
      <c r="C554" s="95" t="str">
        <f>'Active and Pre-IPO SPACs'!C555</f>
        <v>Definitive Agreement</v>
      </c>
      <c r="D554" s="91" t="str">
        <f>'Active and Pre-IPO SPACs'!D555</f>
        <v>Tech</v>
      </c>
      <c r="E554" s="96" t="str">
        <f>'Active and Pre-IPO SPACs'!E555</f>
        <v>Nerdy [DA: 01/29/21]</v>
      </c>
      <c r="F554" s="97" t="str">
        <f>'Active and Pre-IPO SPACs'!F555</f>
        <v>TPG, Karl Peterson (Senior Partner of TPG; Managing Partner of TPG Pace Group), Kathleen Philips (Former COO, CFO, CLO of Zillow), Wendi Sturgis (CEO of Yext Europe), Greg Mrva (Former CFO, Stubhub)</v>
      </c>
      <c r="G554" s="98">
        <f>'Active and Pre-IPO SPACs'!P555</f>
        <v>44110</v>
      </c>
      <c r="H554" s="99">
        <f>'Active and Pre-IPO SPACs'!Q555</f>
        <v>450</v>
      </c>
      <c r="I554" s="100" t="str">
        <f>'Active and Pre-IPO SPACs'!M555</f>
        <v>U: [1/5 W]; W: [1:1, $11.5]</v>
      </c>
    </row>
    <row r="555">
      <c r="A555" s="78" t="str">
        <f>'Active and Pre-IPO SPACs'!A556</f>
        <v>PACX</v>
      </c>
      <c r="B555" s="95" t="str">
        <f>'Active and Pre-IPO SPACs'!B556</f>
        <v>Pioneer Merger Corp.</v>
      </c>
      <c r="C555" s="95" t="str">
        <f>'Active and Pre-IPO SPACs'!C556</f>
        <v>Searching</v>
      </c>
      <c r="D555" s="91" t="str">
        <f>'Active and Pre-IPO SPACs'!D556</f>
        <v/>
      </c>
      <c r="E555" s="96" t="str">
        <f>'Active and Pre-IPO SPACs'!E556</f>
        <v/>
      </c>
      <c r="F555" s="97" t="str">
        <f>'Active and Pre-IPO SPACs'!F556</f>
        <v>Jonathan Christodoro (Fmr Managing Director, Icahn Capital; Director, PayPal, Herbalife, Xerox; Fmr Director, eBay, Lyft), Mitchell Caplan (Fmr CEO, E*Trade), Todd Davis (Co-founder/Fmr CEO, LifeLock)</v>
      </c>
      <c r="G555" s="98">
        <f>'Active and Pre-IPO SPACs'!P556</f>
        <v>44203</v>
      </c>
      <c r="H555" s="99">
        <f>'Active and Pre-IPO SPACs'!Q556</f>
        <v>402.5</v>
      </c>
      <c r="I555" s="100" t="str">
        <f>'Active and Pre-IPO SPACs'!M556</f>
        <v>U: [1/3 W]; W: [1:1, $11.5]</v>
      </c>
    </row>
    <row r="556">
      <c r="A556" s="78" t="str">
        <f>'Active and Pre-IPO SPACs'!A557</f>
        <v>PAIC</v>
      </c>
      <c r="B556" s="95" t="str">
        <f>'Active and Pre-IPO SPACs'!B557</f>
        <v>Petra Acquisition, Inc.</v>
      </c>
      <c r="C556" s="95" t="str">
        <f>'Active and Pre-IPO SPACs'!C557</f>
        <v>Searching</v>
      </c>
      <c r="D556" s="91" t="str">
        <f>'Active and Pre-IPO SPACs'!D557</f>
        <v>Healthcare</v>
      </c>
      <c r="E556" s="96" t="str">
        <f>'Active and Pre-IPO SPACs'!E557</f>
        <v/>
      </c>
      <c r="F556" s="97" t="str">
        <f>'Active and Pre-IPO SPACs'!F557</f>
        <v/>
      </c>
      <c r="G556" s="98">
        <f>'Active and Pre-IPO SPACs'!P557</f>
        <v>44112</v>
      </c>
      <c r="H556" s="99">
        <f>'Active and Pre-IPO SPACs'!Q557</f>
        <v>70.7</v>
      </c>
      <c r="I556" s="100" t="str">
        <f>'Active and Pre-IPO SPACs'!M557</f>
        <v>U: [1 W]; W: [1:1, $11.5]</v>
      </c>
    </row>
    <row r="557">
      <c r="A557" s="103" t="str">
        <f>'Active and Pre-IPO SPACs'!A558</f>
        <v>PANA</v>
      </c>
      <c r="B557" s="95" t="str">
        <f>'Active and Pre-IPO SPACs'!B558</f>
        <v>Panacea Acquisition Corp. II</v>
      </c>
      <c r="C557" s="95" t="str">
        <f>'Active and Pre-IPO SPACs'!C558</f>
        <v>Searching</v>
      </c>
      <c r="D557" s="101" t="str">
        <f>'Active and Pre-IPO SPACs'!D558</f>
        <v>Biotech, Healthcare</v>
      </c>
      <c r="E557" s="96" t="str">
        <f>'Active and Pre-IPO SPACs'!E558</f>
        <v/>
      </c>
      <c r="F557" s="97" t="str">
        <f>'Active and Pre-IPO SPACs'!F558</f>
        <v/>
      </c>
      <c r="G557" s="98">
        <f>'Active and Pre-IPO SPACs'!P558</f>
        <v>44293</v>
      </c>
      <c r="H557" s="99">
        <f>'Active and Pre-IPO SPACs'!Q558</f>
        <v>150</v>
      </c>
      <c r="I557" s="100" t="str">
        <f>'Active and Pre-IPO SPACs'!M558</f>
        <v>U: [No Units]; W: [No Warrants]</v>
      </c>
    </row>
    <row r="558">
      <c r="A558" s="78" t="str">
        <f>'Active and Pre-IPO SPACs'!A559</f>
        <v>PAQC</v>
      </c>
      <c r="B558" s="95" t="str">
        <f>'Active and Pre-IPO SPACs'!B559</f>
        <v>Provident Acquisition Corp. </v>
      </c>
      <c r="C558" s="95" t="str">
        <f>'Active and Pre-IPO SPACs'!C559</f>
        <v>Searching</v>
      </c>
      <c r="D558" s="91" t="str">
        <f>'Active and Pre-IPO SPACs'!D559</f>
        <v>Tech, Southeast Asia</v>
      </c>
      <c r="E558" s="96" t="str">
        <f>'Active and Pre-IPO SPACs'!E559</f>
        <v/>
      </c>
      <c r="F558" s="102" t="str">
        <f>'Active and Pre-IPO SPACs'!F559</f>
        <v>Winato Kartono (Founder, Provident Group), Andre Hoffman (Exec Vice Chairman, L'Occitane Group), Sidney Huang (Fmr CFO, JD.com), Roy Kuan (Fmr MP, CVC Capital Partners)</v>
      </c>
      <c r="G558" s="98">
        <f>'Active and Pre-IPO SPACs'!P559</f>
        <v>44203</v>
      </c>
      <c r="H558" s="99">
        <f>'Active and Pre-IPO SPACs'!Q559</f>
        <v>230</v>
      </c>
      <c r="I558" s="100" t="str">
        <f>'Active and Pre-IPO SPACs'!M559</f>
        <v>U: [1/2 W]; W: [1:1, $11.5]</v>
      </c>
    </row>
    <row r="559">
      <c r="A559" s="103" t="str">
        <f>'Active and Pre-IPO SPACs'!A560</f>
        <v>PBRM</v>
      </c>
      <c r="B559" s="95" t="str">
        <f>'Active and Pre-IPO SPACs'!B560</f>
        <v>Parabellum Acquisition Corp.</v>
      </c>
      <c r="C559" s="95" t="str">
        <f>'Active and Pre-IPO SPACs'!C560</f>
        <v>Pre IPO</v>
      </c>
      <c r="D559" s="91" t="str">
        <f>'Active and Pre-IPO SPACs'!D560</f>
        <v>Tech and IoT</v>
      </c>
      <c r="E559" s="96" t="str">
        <f>'Active and Pre-IPO SPACs'!E560</f>
        <v/>
      </c>
      <c r="F559" s="97" t="str">
        <f>'Active and Pre-IPO SPACs'!F560</f>
        <v>Narbeh Derhacobian (Former CEO of Adesto Technologies)</v>
      </c>
      <c r="G559" s="98" t="str">
        <f>'Active and Pre-IPO SPACs'!P560</f>
        <v/>
      </c>
      <c r="H559" s="99">
        <f>'Active and Pre-IPO SPACs'!Q560</f>
        <v>125</v>
      </c>
      <c r="I559" s="100" t="str">
        <f>'Active and Pre-IPO SPACs'!M560</f>
        <v>U: [1/2 W]; W: [1:1, $11.5]</v>
      </c>
    </row>
    <row r="560">
      <c r="A560" s="103" t="str">
        <f>'Active and Pre-IPO SPACs'!A561</f>
        <v>PCCT</v>
      </c>
      <c r="B560" s="95" t="str">
        <f>'Active and Pre-IPO SPACs'!B561</f>
        <v>Perception Capital Corp. II</v>
      </c>
      <c r="C560" s="95" t="str">
        <f>'Active and Pre-IPO SPACs'!C561</f>
        <v>Pre IPO</v>
      </c>
      <c r="D560" s="101" t="str">
        <f>'Active and Pre-IPO SPACs'!D561</f>
        <v>Industrial Tech, Sustainability</v>
      </c>
      <c r="E560" s="96" t="str">
        <f>'Active and Pre-IPO SPACs'!E561</f>
        <v/>
      </c>
      <c r="F560" s="97" t="str">
        <f>'Active and Pre-IPO SPACs'!F561</f>
        <v>Omer Keilaf (Co-founder &amp; CEO of Innoviz Technologies)</v>
      </c>
      <c r="G560" s="98" t="str">
        <f>'Active and Pre-IPO SPACs'!P561</f>
        <v/>
      </c>
      <c r="H560" s="99">
        <f>'Active and Pre-IPO SPACs'!Q561</f>
        <v>250</v>
      </c>
      <c r="I560" s="100" t="str">
        <f>'Active and Pre-IPO SPACs'!M561</f>
        <v>U: [1/3 W]; W: [1:1, $11.5]</v>
      </c>
    </row>
    <row r="561">
      <c r="A561" s="78" t="str">
        <f>'Active and Pre-IPO SPACs'!A562</f>
        <v>PCPC</v>
      </c>
      <c r="B561" s="95" t="str">
        <f>'Active and Pre-IPO SPACs'!B562</f>
        <v>Periphas Capital Partnering Corp</v>
      </c>
      <c r="C561" s="95" t="str">
        <f>'Active and Pre-IPO SPACs'!C562</f>
        <v>Searching</v>
      </c>
      <c r="D561" s="91" t="str">
        <f>'Active and Pre-IPO SPACs'!D562</f>
        <v/>
      </c>
      <c r="E561" s="96" t="str">
        <f>'Active and Pre-IPO SPACs'!E562</f>
        <v/>
      </c>
      <c r="F561" s="97" t="str">
        <f>'Active and Pre-IPO SPACs'!F562</f>
        <v>Sanjeev Mehra (Co-founder/MP, Periphas Capital)</v>
      </c>
      <c r="G561" s="98">
        <f>'Active and Pre-IPO SPACs'!P562</f>
        <v>44175</v>
      </c>
      <c r="H561" s="99">
        <f>'Active and Pre-IPO SPACs'!Q562</f>
        <v>414</v>
      </c>
      <c r="I561" s="100" t="str">
        <f>'Active and Pre-IPO SPACs'!M562</f>
        <v>U: [1/4 W]; W: [1:1, $28.75]</v>
      </c>
    </row>
    <row r="562">
      <c r="A562" s="78" t="str">
        <f>'Active and Pre-IPO SPACs'!A563</f>
        <v>PDAC</v>
      </c>
      <c r="B562" s="95" t="str">
        <f>'Active and Pre-IPO SPACs'!B563</f>
        <v>Peridot Acquisition Corp.</v>
      </c>
      <c r="C562" s="95" t="str">
        <f>'Active and Pre-IPO SPACs'!C563</f>
        <v>Definitive Agreement</v>
      </c>
      <c r="D562" s="91" t="str">
        <f>'Active and Pre-IPO SPACs'!D563</f>
        <v>Environmental Sustainability, Industrial (Greenhouse gas reduction)</v>
      </c>
      <c r="E562" s="96" t="str">
        <f>'Active and Pre-IPO SPACs'!E563</f>
        <v>Li-Cycle [DA: 02/16/21]</v>
      </c>
      <c r="F562" s="97" t="str">
        <f>'Active and Pre-IPO SPACs'!F563</f>
        <v>Alan Levande (Former Co-CEO of Covey Park Energy), Scott Prochazka (Former CEO of CenterPoint Energy), Jonathan Silver (Director, Plug Power, National Grid, Former Exec. Director of Loan Programs under Pres. Obama)</v>
      </c>
      <c r="G562" s="98">
        <f>'Active and Pre-IPO SPACs'!P563</f>
        <v>44097</v>
      </c>
      <c r="H562" s="99">
        <f>'Active and Pre-IPO SPACs'!Q563</f>
        <v>300</v>
      </c>
      <c r="I562" s="100" t="str">
        <f>'Active and Pre-IPO SPACs'!M563</f>
        <v>U: [1/2 W]; W: [1:1, $11.5]</v>
      </c>
    </row>
    <row r="563">
      <c r="A563" s="78" t="str">
        <f>'Active and Pre-IPO SPACs'!A564</f>
        <v>PDOT</v>
      </c>
      <c r="B563" s="95" t="str">
        <f>'Active and Pre-IPO SPACs'!B564</f>
        <v>Peridot Acquisition Corp. II</v>
      </c>
      <c r="C563" s="95" t="str">
        <f>'Active and Pre-IPO SPACs'!C564</f>
        <v>Searching (Pre Unit Split)</v>
      </c>
      <c r="D563" s="91" t="str">
        <f>'Active and Pre-IPO SPACs'!D564</f>
        <v>Environmental Sustainability, Industrial (Greenhouse gas reduction)</v>
      </c>
      <c r="E563" s="96" t="str">
        <f>'Active and Pre-IPO SPACs'!E564</f>
        <v/>
      </c>
      <c r="F563" s="97" t="str">
        <f>'Active and Pre-IPO SPACs'!F564</f>
        <v>Alan Levande (Former Co-CEO of Covey Park Energy), Scott Prochazka (Former CEO of CenterPoint Energy)</v>
      </c>
      <c r="G563" s="98">
        <f>'Active and Pre-IPO SPACs'!P564</f>
        <v>44263</v>
      </c>
      <c r="H563" s="99">
        <f>'Active and Pre-IPO SPACs'!Q564</f>
        <v>408.45476</v>
      </c>
      <c r="I563" s="100" t="str">
        <f>'Active and Pre-IPO SPACs'!M564</f>
        <v>U: [1/5 W]; W: [1:1, $11.5]</v>
      </c>
    </row>
    <row r="564">
      <c r="A564" s="103" t="str">
        <f>'Active and Pre-IPO SPACs'!A565</f>
        <v>PEGR</v>
      </c>
      <c r="B564" s="95" t="str">
        <f>'Active and Pre-IPO SPACs'!B565</f>
        <v>Project Energy Reimagined Acquisition Corp.</v>
      </c>
      <c r="C564" s="95" t="str">
        <f>'Active and Pre-IPO SPACs'!C565</f>
        <v>Pre IPO</v>
      </c>
      <c r="D564" s="101" t="str">
        <f>'Active and Pre-IPO SPACs'!D565</f>
        <v>Electric Grid 2.0 (Energy Transition)</v>
      </c>
      <c r="E564" s="96" t="str">
        <f>'Active and Pre-IPO SPACs'!E565</f>
        <v/>
      </c>
      <c r="F564" s="97" t="str">
        <f>'Active and Pre-IPO SPACs'!F565</f>
        <v>Srinath Narayanan (Director of Hyperloop), Eric Spiegel (Former CEO of Siemens USA)</v>
      </c>
      <c r="G564" s="98" t="str">
        <f>'Active and Pre-IPO SPACs'!P565</f>
        <v/>
      </c>
      <c r="H564" s="99">
        <f>'Active and Pre-IPO SPACs'!Q565</f>
        <v>300</v>
      </c>
      <c r="I564" s="100" t="str">
        <f>'Active and Pre-IPO SPACs'!M565</f>
        <v>U: [1/3 W]; W: [1:1, $11.5]</v>
      </c>
    </row>
    <row r="565">
      <c r="A565" s="78" t="str">
        <f>'Active and Pre-IPO SPACs'!A566</f>
        <v>PFDR</v>
      </c>
      <c r="B565" s="95" t="str">
        <f>'Active and Pre-IPO SPACs'!B566</f>
        <v>Pathfinder Acquisition Corporation
</v>
      </c>
      <c r="C565" s="95" t="str">
        <f>'Active and Pre-IPO SPACs'!C566</f>
        <v>Searching (Pre Unit Split)</v>
      </c>
      <c r="D565" s="91" t="str">
        <f>'Active and Pre-IPO SPACs'!D566</f>
        <v>Tech</v>
      </c>
      <c r="E565" s="96" t="str">
        <f>'Active and Pre-IPO SPACs'!E566</f>
        <v/>
      </c>
      <c r="F565" s="97" t="str">
        <f>'Active and Pre-IPO SPACs'!F566</f>
        <v>Rich Lawson (Co-founder/CEO, HGGC), Steve Young (Fmr NFL QB, SF 49ers; Co-founder/Pres, HGGC), Hans Swildens (Founder/CEO, Industry Ventures)</v>
      </c>
      <c r="G565" s="98">
        <f>'Active and Pre-IPO SPACs'!P566</f>
        <v>44243</v>
      </c>
      <c r="H565" s="99">
        <f>'Active and Pre-IPO SPACs'!Q566</f>
        <v>325</v>
      </c>
      <c r="I565" s="100" t="str">
        <f>'Active and Pre-IPO SPACs'!M566</f>
        <v>U: [1/5 W]; W: [1:1, $11.5]</v>
      </c>
    </row>
    <row r="566">
      <c r="A566" s="78" t="str">
        <f>'Active and Pre-IPO SPACs'!A567</f>
        <v>PGRW</v>
      </c>
      <c r="B566" s="95" t="str">
        <f>'Active and Pre-IPO SPACs'!B567</f>
        <v>Progress Acquisition Corp.</v>
      </c>
      <c r="C566" s="95" t="str">
        <f>'Active and Pre-IPO SPACs'!C567</f>
        <v>Searching</v>
      </c>
      <c r="D566" s="91" t="str">
        <f>'Active and Pre-IPO SPACs'!D567</f>
        <v>Media, Entertainment Tech</v>
      </c>
      <c r="E566" s="96" t="str">
        <f>'Active and Pre-IPO SPACs'!E567</f>
        <v/>
      </c>
      <c r="F566" s="97" t="str">
        <f>'Active and Pre-IPO SPACs'!F567</f>
        <v>Carl Vogel (Fmr President, DISH Network; Fmr CEO, Charter; Director of DISH, Sirius XM, AMC Networks; Fmr Non-Exec Chairman, Fanduel Group), Chris Kelly (Fmr Chairman, MoviePass; Co-owner, Sacramento Kings), Rich Battista (Fmr CEO, Time)</v>
      </c>
      <c r="G566" s="98">
        <f>'Active and Pre-IPO SPACs'!P567</f>
        <v>44236</v>
      </c>
      <c r="H566" s="99">
        <f>'Active and Pre-IPO SPACs'!Q567</f>
        <v>172.5</v>
      </c>
      <c r="I566" s="100" t="str">
        <f>'Active and Pre-IPO SPACs'!M567</f>
        <v>U: [1/2 W]; W: [1:1, $11.5]</v>
      </c>
    </row>
    <row r="567">
      <c r="A567" s="78" t="str">
        <f>'Active and Pre-IPO SPACs'!A568</f>
        <v>PHIC</v>
      </c>
      <c r="B567" s="95" t="str">
        <f>'Active and Pre-IPO SPACs'!B568</f>
        <v>Population Health Investment Co., Inc.</v>
      </c>
      <c r="C567" s="95" t="str">
        <f>'Active and Pre-IPO SPACs'!C568</f>
        <v>Searching</v>
      </c>
      <c r="D567" s="91" t="str">
        <f>'Active and Pre-IPO SPACs'!D568</f>
        <v>Therapeutics, Healthcare</v>
      </c>
      <c r="E567" s="96" t="str">
        <f>'Active and Pre-IPO SPACs'!E568</f>
        <v/>
      </c>
      <c r="F567" s="97" t="str">
        <f>'Active and Pre-IPO SPACs'!F568</f>
        <v>Ian Read (Fmr Chairman/CEO, Pfizer)</v>
      </c>
      <c r="G567" s="98">
        <f>'Active and Pre-IPO SPACs'!P568</f>
        <v>44153</v>
      </c>
      <c r="H567" s="99">
        <f>'Active and Pre-IPO SPACs'!Q568</f>
        <v>172.5</v>
      </c>
      <c r="I567" s="100" t="str">
        <f>'Active and Pre-IPO SPACs'!M568</f>
        <v>U: [1/3 W]; W: [1:1, $11.5]</v>
      </c>
    </row>
    <row r="568">
      <c r="A568" s="78" t="str">
        <f>'Active and Pre-IPO SPACs'!A569</f>
        <v>PIAI</v>
      </c>
      <c r="B568" s="95" t="str">
        <f>'Active and Pre-IPO SPACs'!B569</f>
        <v>Prime Impact Acquisition I</v>
      </c>
      <c r="C568" s="95" t="str">
        <f>'Active and Pre-IPO SPACs'!C569</f>
        <v>Searching</v>
      </c>
      <c r="D568" s="91" t="str">
        <f>'Active and Pre-IPO SPACs'!D569</f>
        <v>TMT, MedTech and Industrial Tech (Data-Centric)</v>
      </c>
      <c r="E568" s="96" t="str">
        <f>'Active and Pre-IPO SPACs'!E569</f>
        <v/>
      </c>
      <c r="F568" s="97" t="str">
        <f>'Active and Pre-IPO SPACs'!F569</f>
        <v>Mike Cordano (Former COO of Western Digital), Jim McLean (Founder of Silicon Valley Data Capital), Cathleen Benko (Former Chief Communications Officer of Deloitte; Member of Board of Directors of NIKE), Dixon Doll (Co-founder, Accel Partners), Keyur Patel (Former Chief Strategy Officer, KPMG)  </v>
      </c>
      <c r="G568" s="98">
        <f>'Active and Pre-IPO SPACs'!P569</f>
        <v>44084</v>
      </c>
      <c r="H568" s="99">
        <f>'Active and Pre-IPO SPACs'!Q569</f>
        <v>324.08414</v>
      </c>
      <c r="I568" s="100" t="str">
        <f>'Active and Pre-IPO SPACs'!M569</f>
        <v>U: [1/3 W]; W: [1:1, $11.5]</v>
      </c>
    </row>
    <row r="569">
      <c r="A569" s="78" t="str">
        <f>'Active and Pre-IPO SPACs'!A570</f>
        <v>PICC</v>
      </c>
      <c r="B569" s="95" t="str">
        <f>'Active and Pre-IPO SPACs'!B570</f>
        <v>Pivotal Investment Corporation III</v>
      </c>
      <c r="C569" s="95" t="str">
        <f>'Active and Pre-IPO SPACs'!C570</f>
        <v>Searching</v>
      </c>
      <c r="D569" s="91" t="str">
        <f>'Active and Pre-IPO SPACs'!D570</f>
        <v>LogTech, “last mile” delivery, Tech, Cyber-security, Physical Security Sevices, Media, Entertainment, franchises</v>
      </c>
      <c r="E569" s="96" t="str">
        <f>'Active and Pre-IPO SPACs'!E570</f>
        <v/>
      </c>
      <c r="F569" s="97" t="str">
        <f>'Active and Pre-IPO SPACs'!F570</f>
        <v>Jonathan Ledecky (Co-owner New York Islanders; Director, XL Fleet; Fmr CEO, PIC), Katrina Adams (Fmr Chairman, US Open and Former Pro Tennis Player), Kevin Griffin (Founder/CEO, MGG Investment Group)</v>
      </c>
      <c r="G569" s="98">
        <f>'Active and Pre-IPO SPACs'!P570</f>
        <v>44235</v>
      </c>
      <c r="H569" s="99">
        <f>'Active and Pre-IPO SPACs'!Q570</f>
        <v>276</v>
      </c>
      <c r="I569" s="100" t="str">
        <f>'Active and Pre-IPO SPACs'!M570</f>
        <v>U: [1/5 W]; W: [1:1, $11.5]</v>
      </c>
    </row>
    <row r="570">
      <c r="A570" s="78" t="str">
        <f>'Active and Pre-IPO SPACs'!A571</f>
        <v>PIPP</v>
      </c>
      <c r="B570" s="95" t="str">
        <f>'Active and Pre-IPO SPACs'!B571</f>
        <v>Pine Island Acquisition Corp.</v>
      </c>
      <c r="C570" s="95" t="str">
        <f>'Active and Pre-IPO SPACs'!C571</f>
        <v>Searching</v>
      </c>
      <c r="D570" s="91" t="str">
        <f>'Active and Pre-IPO SPACs'!D571</f>
        <v>Defense, Government service and Aerospace</v>
      </c>
      <c r="E570" s="96" t="str">
        <f>'Active and Pre-IPO SPACs'!E571</f>
        <v/>
      </c>
      <c r="F570" s="97" t="str">
        <f>'Active and Pre-IPO SPACs'!F571</f>
        <v>John Thain (Fmr CEO of Merrill Lynch and NYSE; Director, Uber), Philip Cooper (Fmr Partner/CIO, Goldman Sachs Private Equity), Ambassador Stuart Holliday, Ambassador Capricia Marshall (Fmr US Chief of Protocol), Michael Roemer (Fmr Chief Compliance Officer, Wells Fargo)</v>
      </c>
      <c r="G570" s="98">
        <f>'Active and Pre-IPO SPACs'!P571</f>
        <v>44151</v>
      </c>
      <c r="H570" s="99">
        <f>'Active and Pre-IPO SPACs'!Q571</f>
        <v>218.388</v>
      </c>
      <c r="I570" s="100" t="str">
        <f>'Active and Pre-IPO SPACs'!M571</f>
        <v>U: [1/3 W]; W: [1:1, $11.5]</v>
      </c>
    </row>
    <row r="571">
      <c r="A571" s="103" t="str">
        <f>'Active and Pre-IPO SPACs'!A572</f>
        <v>PLMI</v>
      </c>
      <c r="B571" s="95" t="str">
        <f>'Active and Pre-IPO SPACs'!B572</f>
        <v>Plum Acquisition Corp. I</v>
      </c>
      <c r="C571" s="95" t="str">
        <f>'Active and Pre-IPO SPACs'!C572</f>
        <v>Searching (Pre Unit Split)</v>
      </c>
      <c r="D571" s="101" t="str">
        <f>'Active and Pre-IPO SPACs'!D572</f>
        <v>Software/ Tech, Health &amp; Wellbeing</v>
      </c>
      <c r="E571" s="96" t="str">
        <f>'Active and Pre-IPO SPACs'!E572</f>
        <v/>
      </c>
      <c r="F571" s="97" t="str">
        <f>'Active and Pre-IPO SPACs'!F572</f>
        <v>Ursula Burns (Fmr CEO, Xerox; Director, Nestle, Uber, &amp; Exxon Mobil), Mike Dinsdale (Fmr CFO, Gusto; Fmr CFO, DoorDash; Fmr CFO, DocuSign), Kevin Turner (Fmr COO, Microsoft; Fmr CEO, Sam’s Club; Fmr Director, Nordstrom; Fmr Vice Chairman, Citadel), Alok Sama (Fmr CFO, SoftBank Group)</v>
      </c>
      <c r="G571" s="98">
        <f>'Active and Pre-IPO SPACs'!P572</f>
        <v>44270</v>
      </c>
      <c r="H571" s="99">
        <f>'Active and Pre-IPO SPACs'!Q572</f>
        <v>300</v>
      </c>
      <c r="I571" s="100" t="str">
        <f>'Active and Pre-IPO SPACs'!M572</f>
        <v>U: [1/5 W]; W: [1:1, $11.5]</v>
      </c>
    </row>
    <row r="572">
      <c r="A572" s="78" t="str">
        <f>'Active and Pre-IPO SPACs'!A573</f>
        <v>PMGM</v>
      </c>
      <c r="B572" s="95" t="str">
        <f>'Active and Pre-IPO SPACs'!B573</f>
        <v>Priveterra Acquisition Corp.</v>
      </c>
      <c r="C572" s="95" t="str">
        <f>'Active and Pre-IPO SPACs'!C573</f>
        <v>Searching (Pre Unit Split)</v>
      </c>
      <c r="D572" s="91" t="str">
        <f>'Active and Pre-IPO SPACs'!D573</f>
        <v>MedTech, Healthcare</v>
      </c>
      <c r="E572" s="96" t="str">
        <f>'Active and Pre-IPO SPACs'!E573</f>
        <v/>
      </c>
      <c r="F572" s="97" t="str">
        <f>'Active and Pre-IPO SPACs'!F573</f>
        <v/>
      </c>
      <c r="G572" s="98">
        <f>'Active and Pre-IPO SPACs'!P573</f>
        <v>44235</v>
      </c>
      <c r="H572" s="99">
        <f>'Active and Pre-IPO SPACs'!Q573</f>
        <v>276</v>
      </c>
      <c r="I572" s="100" t="str">
        <f>'Active and Pre-IPO SPACs'!M573</f>
        <v>U: [1/3 W]; W: [1:1, $11.5]</v>
      </c>
    </row>
    <row r="573">
      <c r="A573" s="78" t="str">
        <f>'Active and Pre-IPO SPACs'!A574</f>
        <v>PMVC</v>
      </c>
      <c r="B573" s="95" t="str">
        <f>'Active and Pre-IPO SPACs'!B574</f>
        <v>PMV Consumer Acquisition Corp.</v>
      </c>
      <c r="C573" s="95" t="str">
        <f>'Active and Pre-IPO SPACs'!C574</f>
        <v>Searching</v>
      </c>
      <c r="D573" s="91" t="str">
        <f>'Active and Pre-IPO SPACs'!D574</f>
        <v>Consumer, Consumer Tech, Infrastructure, Supply Chain</v>
      </c>
      <c r="E573" s="96" t="str">
        <f>'Active and Pre-IPO SPACs'!E574</f>
        <v/>
      </c>
      <c r="F573" s="97" t="str">
        <f>'Active and Pre-IPO SPACs'!F574</f>
        <v/>
      </c>
      <c r="G573" s="98">
        <f>'Active and Pre-IPO SPACs'!P574</f>
        <v>44095</v>
      </c>
      <c r="H573" s="99">
        <f>'Active and Pre-IPO SPACs'!Q574</f>
        <v>175</v>
      </c>
      <c r="I573" s="100" t="str">
        <f>'Active and Pre-IPO SPACs'!M574</f>
        <v>U: [1/2 W]; W: [1:1, $11.5]</v>
      </c>
    </row>
    <row r="574">
      <c r="A574" s="78" t="str">
        <f>'Active and Pre-IPO SPACs'!A575</f>
        <v>PNTM</v>
      </c>
      <c r="B574" s="95" t="str">
        <f>'Active and Pre-IPO SPACs'!B575</f>
        <v>Pontem Corporation</v>
      </c>
      <c r="C574" s="95" t="str">
        <f>'Active and Pre-IPO SPACs'!C575</f>
        <v>Searching</v>
      </c>
      <c r="D574" s="91" t="str">
        <f>'Active and Pre-IPO SPACs'!D575</f>
        <v>Industrial Tech</v>
      </c>
      <c r="E574" s="96" t="str">
        <f>'Active and Pre-IPO SPACs'!E575</f>
        <v/>
      </c>
      <c r="F574" s="97" t="str">
        <f>'Active and Pre-IPO SPACs'!F575</f>
        <v/>
      </c>
      <c r="G574" s="98">
        <f>'Active and Pre-IPO SPACs'!P575</f>
        <v>44209</v>
      </c>
      <c r="H574" s="99">
        <f>'Active and Pre-IPO SPACs'!Q575</f>
        <v>690</v>
      </c>
      <c r="I574" s="100" t="str">
        <f>'Active and Pre-IPO SPACs'!M575</f>
        <v>U: [1/3 W]; W: [1:1, $11.5]</v>
      </c>
    </row>
    <row r="575">
      <c r="A575" s="103" t="str">
        <f>'Active and Pre-IPO SPACs'!A576</f>
        <v>POND</v>
      </c>
      <c r="B575" s="95" t="str">
        <f>'Active and Pre-IPO SPACs'!B576</f>
        <v>Angel Pond Holdings Corp</v>
      </c>
      <c r="C575" s="95" t="str">
        <f>'Active and Pre-IPO SPACs'!C576</f>
        <v>Pre IPO</v>
      </c>
      <c r="D575" s="91" t="str">
        <f>'Active and Pre-IPO SPACs'!D576</f>
        <v>Tech in China (incl: e-commerce, enterprise software, cloud computing, and Fintech)</v>
      </c>
      <c r="E575" s="96" t="str">
        <f>'Active and Pre-IPO SPACs'!E576</f>
        <v/>
      </c>
      <c r="F575" s="97" t="str">
        <f>'Active and Pre-IPO SPACs'!F576</f>
        <v>Simon Xie (Co-founder of Alibaba Group)</v>
      </c>
      <c r="G575" s="98" t="str">
        <f>'Active and Pre-IPO SPACs'!P576</f>
        <v/>
      </c>
      <c r="H575" s="99">
        <f>'Active and Pre-IPO SPACs'!Q576</f>
        <v>300</v>
      </c>
      <c r="I575" s="100" t="str">
        <f>'Active and Pre-IPO SPACs'!M576</f>
        <v>U: [1/3 W]; W: [1:1, $11.5]</v>
      </c>
    </row>
    <row r="576">
      <c r="A576" s="78" t="str">
        <f>'Active and Pre-IPO SPACs'!A577</f>
        <v>POW</v>
      </c>
      <c r="B576" s="95" t="str">
        <f>'Active and Pre-IPO SPACs'!B577</f>
        <v>Powered Brands</v>
      </c>
      <c r="C576" s="95" t="str">
        <f>'Active and Pre-IPO SPACs'!C577</f>
        <v>Searching</v>
      </c>
      <c r="D576" s="91" t="str">
        <f>'Active and Pre-IPO SPACs'!D577</f>
        <v>Beauty, Wellness, and Consumer-related</v>
      </c>
      <c r="E576" s="96" t="str">
        <f>'Active and Pre-IPO SPACs'!E577</f>
        <v/>
      </c>
      <c r="F576" s="97" t="str">
        <f>'Active and Pre-IPO SPACs'!F577</f>
        <v>Katherine Power (Co-founder/CEO, Clique Brands), Dana Settle (Founding Partner, Greycroft), Karen Cate (CFO/Ops Head, Thrive Market), Kimberly Paige (CMO, BET Networks)</v>
      </c>
      <c r="G576" s="98">
        <f>'Active and Pre-IPO SPACs'!P577</f>
        <v>44203</v>
      </c>
      <c r="H576" s="99">
        <f>'Active and Pre-IPO SPACs'!Q577</f>
        <v>276</v>
      </c>
      <c r="I576" s="100" t="str">
        <f>'Active and Pre-IPO SPACs'!M577</f>
        <v>U: [1/3 W]; W: [1:1, $11.5]</v>
      </c>
    </row>
    <row r="577">
      <c r="A577" s="78" t="str">
        <f>'Active and Pre-IPO SPACs'!A578</f>
        <v>PPGH</v>
      </c>
      <c r="B577" s="95" t="str">
        <f>'Active and Pre-IPO SPACs'!B578</f>
        <v>Poema Global Holdings Corp.</v>
      </c>
      <c r="C577" s="95" t="str">
        <f>'Active and Pre-IPO SPACs'!C578</f>
        <v>Searching</v>
      </c>
      <c r="D577" s="91" t="str">
        <f>'Active and Pre-IPO SPACs'!D578</f>
        <v>Tech (Focus in Europe &amp; Asia)</v>
      </c>
      <c r="E577" s="96" t="str">
        <f>'Active and Pre-IPO SPACs'!E578</f>
        <v/>
      </c>
      <c r="F577" s="97" t="str">
        <f>'Active and Pre-IPO SPACs'!F578</f>
        <v/>
      </c>
      <c r="G577" s="98">
        <f>'Active and Pre-IPO SPACs'!P578</f>
        <v>44202</v>
      </c>
      <c r="H577" s="99">
        <f>'Active and Pre-IPO SPACs'!Q578</f>
        <v>345</v>
      </c>
      <c r="I577" s="100" t="str">
        <f>'Active and Pre-IPO SPACs'!M578</f>
        <v>U: [1/2 W]; W: [1:1, $11.5]</v>
      </c>
    </row>
    <row r="578">
      <c r="A578" s="78" t="str">
        <f>'Active and Pre-IPO SPACs'!A579</f>
        <v>PRPB</v>
      </c>
      <c r="B578" s="95" t="str">
        <f>'Active and Pre-IPO SPACs'!B579</f>
        <v>CC Neuberger Principal Holdings II</v>
      </c>
      <c r="C578" s="95" t="str">
        <f>'Active and Pre-IPO SPACs'!C579</f>
        <v>Searching</v>
      </c>
      <c r="D578" s="91" t="str">
        <f>'Active and Pre-IPO SPACs'!D579</f>
        <v/>
      </c>
      <c r="E578" s="96" t="str">
        <f>'Active and Pre-IPO SPACs'!E579</f>
        <v/>
      </c>
      <c r="F578" s="97" t="str">
        <f>'Active and Pre-IPO SPACs'!F579</f>
        <v>Chinh Chu (Founder/Managing Partner, CC Capital; Former Managing Director at Blackstone)
</v>
      </c>
      <c r="G578" s="98">
        <f>'Active and Pre-IPO SPACs'!P579</f>
        <v>44043</v>
      </c>
      <c r="H578" s="99">
        <f>'Active and Pre-IPO SPACs'!Q579</f>
        <v>828</v>
      </c>
      <c r="I578" s="100" t="str">
        <f>'Active and Pre-IPO SPACs'!M579</f>
        <v>U: [1/4 W]; W: [1:1, $11.5]</v>
      </c>
    </row>
    <row r="579">
      <c r="A579" s="78" t="str">
        <f>'Active and Pre-IPO SPACs'!A580</f>
        <v>PRPC</v>
      </c>
      <c r="B579" s="95" t="str">
        <f>'Active and Pre-IPO SPACs'!B580</f>
        <v>CC Neuberger Principal Holdings III</v>
      </c>
      <c r="C579" s="95" t="str">
        <f>'Active and Pre-IPO SPACs'!C580</f>
        <v>Searching</v>
      </c>
      <c r="D579" s="91" t="str">
        <f>'Active and Pre-IPO SPACs'!D580</f>
        <v/>
      </c>
      <c r="E579" s="96" t="str">
        <f>'Active and Pre-IPO SPACs'!E580</f>
        <v/>
      </c>
      <c r="F579" s="97" t="str">
        <f>'Active and Pre-IPO SPACs'!F580</f>
        <v>Chinh Chu (Founder/Managing Partner, CC Capital; Former Managing Director at Blackstone), Charles Kantor (Managing Director, Neuberger Berman)</v>
      </c>
      <c r="G579" s="98">
        <f>'Active and Pre-IPO SPACs'!P580</f>
        <v>44229</v>
      </c>
      <c r="H579" s="99">
        <f>'Active and Pre-IPO SPACs'!Q580</f>
        <v>350</v>
      </c>
      <c r="I579" s="100" t="str">
        <f>'Active and Pre-IPO SPACs'!M580</f>
        <v>U: [1/5 W]; W: [1:1, $11.5]</v>
      </c>
    </row>
    <row r="580">
      <c r="A580" s="78" t="str">
        <f>'Active and Pre-IPO SPACs'!A581</f>
        <v>PRSR</v>
      </c>
      <c r="B580" s="95" t="str">
        <f>'Active and Pre-IPO SPACs'!B581</f>
        <v>Prospector Capital Corp.</v>
      </c>
      <c r="C580" s="95" t="str">
        <f>'Active and Pre-IPO SPACs'!C581</f>
        <v>Searching</v>
      </c>
      <c r="D580" s="91" t="str">
        <f>'Active and Pre-IPO SPACs'!D581</f>
        <v>Advanced communications, applications and services Tech (such as 5G, machine learning, cloud/edge computing, AR/VR)</v>
      </c>
      <c r="E580" s="96" t="str">
        <f>'Active and Pre-IPO SPACs'!E581</f>
        <v/>
      </c>
      <c r="F580" s="97" t="str">
        <f>'Active and Pre-IPO SPACs'!F581</f>
        <v>Derek Aberle (Fmr Pres/COO, Qualcomm), Steve Altman (Fmr Pres/Vice Chairman, Qualcomm), </v>
      </c>
      <c r="G580" s="98">
        <f>'Active and Pre-IPO SPACs'!P581</f>
        <v>44203</v>
      </c>
      <c r="H580" s="99">
        <f>'Active and Pre-IPO SPACs'!Q581</f>
        <v>325</v>
      </c>
      <c r="I580" s="100" t="str">
        <f>'Active and Pre-IPO SPACs'!M581</f>
        <v>U: [1/3 W]; W: [1:1, $11.5]</v>
      </c>
    </row>
    <row r="581">
      <c r="A581" s="78" t="str">
        <f>'Active and Pre-IPO SPACs'!A582</f>
        <v>PSAC</v>
      </c>
      <c r="B581" s="95" t="str">
        <f>'Active and Pre-IPO SPACs'!B582</f>
        <v>Property Solutions Acquisition</v>
      </c>
      <c r="C581" s="95" t="str">
        <f>'Active and Pre-IPO SPACs'!C582</f>
        <v>Definitive Agreement</v>
      </c>
      <c r="D581" s="91" t="str">
        <f>'Active and Pre-IPO SPACs'!D582</f>
        <v>PropTech, Real Estate</v>
      </c>
      <c r="E581" s="96" t="str">
        <f>'Active and Pre-IPO SPACs'!E582</f>
        <v>Faraday Future [DA: 01/28/21]</v>
      </c>
      <c r="F581" s="97" t="str">
        <f>'Active and Pre-IPO SPACs'!F582</f>
        <v/>
      </c>
      <c r="G581" s="98">
        <f>'Active and Pre-IPO SPACs'!P582</f>
        <v>44034</v>
      </c>
      <c r="H581" s="99">
        <f>'Active and Pre-IPO SPACs'!Q582</f>
        <v>229.77568</v>
      </c>
      <c r="I581" s="100" t="str">
        <f>'Active and Pre-IPO SPACs'!M582</f>
        <v>U: [1 W]; W: [1:1, $11.5]</v>
      </c>
    </row>
    <row r="582">
      <c r="A582" s="103" t="str">
        <f>'Active and Pre-IPO SPACs'!A583</f>
        <v>PSAG</v>
      </c>
      <c r="B582" s="95" t="str">
        <f>'Active and Pre-IPO SPACs'!B583</f>
        <v>Property Solutions Acquisition Corp. II</v>
      </c>
      <c r="C582" s="95" t="str">
        <f>'Active and Pre-IPO SPACs'!C583</f>
        <v>Searching (Pre Unit Split)</v>
      </c>
      <c r="D582" s="91" t="str">
        <f>'Active and Pre-IPO SPACs'!D583</f>
        <v>PropTech, Real Estate</v>
      </c>
      <c r="E582" s="96" t="str">
        <f>'Active and Pre-IPO SPACs'!E583</f>
        <v/>
      </c>
      <c r="F582" s="97" t="str">
        <f>'Active and Pre-IPO SPACs'!F583</f>
        <v/>
      </c>
      <c r="G582" s="98">
        <f>'Active and Pre-IPO SPACs'!P583</f>
        <v>44258</v>
      </c>
      <c r="H582" s="99">
        <f>'Active and Pre-IPO SPACs'!Q583</f>
        <v>300</v>
      </c>
      <c r="I582" s="100" t="str">
        <f>'Active and Pre-IPO SPACs'!M583</f>
        <v>U: [1/3 W]; W: [1:1, $11.5]</v>
      </c>
    </row>
    <row r="583">
      <c r="A583" s="103" t="str">
        <f>'Active and Pre-IPO SPACs'!A584</f>
        <v>PSPC</v>
      </c>
      <c r="B583" s="95" t="str">
        <f>'Active and Pre-IPO SPACs'!B584</f>
        <v>Post Holdings Partnering Corp</v>
      </c>
      <c r="C583" s="95" t="str">
        <f>'Active and Pre-IPO SPACs'!C584</f>
        <v>Pre IPO</v>
      </c>
      <c r="D583" s="91" t="str">
        <f>'Active and Pre-IPO SPACs'!D584</f>
        <v>Consumer Packaged Goods (CPG)</v>
      </c>
      <c r="E583" s="96" t="str">
        <f>'Active and Pre-IPO SPACs'!E584</f>
        <v/>
      </c>
      <c r="F583" s="97" t="str">
        <f>'Active and Pre-IPO SPACs'!F584</f>
        <v/>
      </c>
      <c r="G583" s="98" t="str">
        <f>'Active and Pre-IPO SPACs'!P584</f>
        <v/>
      </c>
      <c r="H583" s="99">
        <f>'Active and Pre-IPO SPACs'!Q584</f>
        <v>300</v>
      </c>
      <c r="I583" s="100" t="str">
        <f>'Active and Pre-IPO SPACs'!M584</f>
        <v>U: [1/3 W]; W: [1:1, $11.5]</v>
      </c>
    </row>
    <row r="584">
      <c r="A584" s="78" t="str">
        <f>'Active and Pre-IPO SPACs'!A585</f>
        <v>PSTH</v>
      </c>
      <c r="B584" s="95" t="str">
        <f>'Active and Pre-IPO SPACs'!B585</f>
        <v>Pershing Square Tontine Holdings</v>
      </c>
      <c r="C584" s="95" t="str">
        <f>'Active and Pre-IPO SPACs'!C585</f>
        <v>Searching</v>
      </c>
      <c r="D584" s="71" t="str">
        <f>'Active and Pre-IPO SPACs'!D585</f>
        <v>https://images.unsplash.com/photo-1562037283-072818fb6d8f?ixlib=rb-1.2.1&amp;ixid=eyJhcHBfaWQiOjEyMDd9&amp;auto=format&amp;fit=crop&amp;w=1087&amp;q=80</v>
      </c>
      <c r="E584" s="96" t="str">
        <f>'Active and Pre-IPO SPACs'!E585</f>
        <v/>
      </c>
      <c r="F584" s="97" t="str">
        <f>'Active and Pre-IPO SPACs'!F585</f>
        <v>Bill Ackman (Founder/ CEO of Pershing Square)</v>
      </c>
      <c r="G584" s="98">
        <f>'Active and Pre-IPO SPACs'!P585</f>
        <v>44034</v>
      </c>
      <c r="H584" s="99">
        <f>'Active and Pre-IPO SPACs'!Q585</f>
        <v>4000</v>
      </c>
      <c r="I584" s="100" t="str">
        <f>'Active and Pre-IPO SPACs'!M585</f>
        <v>U: [1/9 W]; W: [1:1, $23]</v>
      </c>
    </row>
    <row r="585">
      <c r="A585" s="78" t="str">
        <f>'Active and Pre-IPO SPACs'!A586</f>
        <v>PTIC</v>
      </c>
      <c r="B585" s="95" t="str">
        <f>'Active and Pre-IPO SPACs'!B586</f>
        <v>PropTech Investment Corporation II</v>
      </c>
      <c r="C585" s="95" t="str">
        <f>'Active and Pre-IPO SPACs'!C586</f>
        <v>Searching</v>
      </c>
      <c r="D585" s="91" t="str">
        <f>'Active and Pre-IPO SPACs'!D586</f>
        <v>PropTech </v>
      </c>
      <c r="E585" s="96" t="str">
        <f>'Active and Pre-IPO SPACs'!E586</f>
        <v/>
      </c>
      <c r="F585" s="97" t="str">
        <f>'Active and Pre-IPO SPACs'!F586</f>
        <v>Thomas Hennessy, Advisor: Daniel Hennessy</v>
      </c>
      <c r="G585" s="98">
        <f>'Active and Pre-IPO SPACs'!P586</f>
        <v>44169</v>
      </c>
      <c r="H585" s="99">
        <f>'Active and Pre-IPO SPACs'!Q586</f>
        <v>230</v>
      </c>
      <c r="I585" s="100" t="str">
        <f>'Active and Pre-IPO SPACs'!M586</f>
        <v>U: [1/3 W]; W: [1:1, $11.5]</v>
      </c>
    </row>
    <row r="586">
      <c r="A586" s="78" t="str">
        <f>'Active and Pre-IPO SPACs'!A587</f>
        <v>PTK</v>
      </c>
      <c r="B586" s="95" t="str">
        <f>'Active and Pre-IPO SPACs'!B587</f>
        <v>PTK Acquisition</v>
      </c>
      <c r="C586" s="95" t="str">
        <f>'Active and Pre-IPO SPACs'!C587</f>
        <v>Searching</v>
      </c>
      <c r="D586" s="91" t="str">
        <f>'Active and Pre-IPO SPACs'!D587</f>
        <v>Tech</v>
      </c>
      <c r="E586" s="96" t="str">
        <f>'Active and Pre-IPO SPACs'!E587</f>
        <v/>
      </c>
      <c r="F586" s="97" t="str">
        <f>'Active and Pre-IPO SPACs'!F587</f>
        <v/>
      </c>
      <c r="G586" s="98">
        <f>'Active and Pre-IPO SPACs'!P587</f>
        <v>44025</v>
      </c>
      <c r="H586" s="99">
        <f>'Active and Pre-IPO SPACs'!Q587</f>
        <v>115</v>
      </c>
      <c r="I586" s="100" t="str">
        <f>'Active and Pre-IPO SPACs'!M587</f>
        <v>U: [1 W]; W: [2:1, $11.5]</v>
      </c>
    </row>
    <row r="587">
      <c r="A587" s="103" t="str">
        <f>'Active and Pre-IPO SPACs'!A588</f>
        <v>PTOC</v>
      </c>
      <c r="B587" s="95" t="str">
        <f>'Active and Pre-IPO SPACs'!B588</f>
        <v>Pine Technology Acquisition Corp.</v>
      </c>
      <c r="C587" s="95" t="str">
        <f>'Active and Pre-IPO SPACs'!C588</f>
        <v>Searching (Pre Unit Split)</v>
      </c>
      <c r="D587" s="101" t="str">
        <f>'Active and Pre-IPO SPACs'!D588</f>
        <v>InsurTech</v>
      </c>
      <c r="E587" s="96" t="str">
        <f>'Active and Pre-IPO SPACs'!E588</f>
        <v/>
      </c>
      <c r="F587" s="97" t="str">
        <f>'Active and Pre-IPO SPACs'!F588</f>
        <v>J. Eric Smith (Fmr CEO, Swiss Re Americas), Bradley Tusk (Founder/CEO, Tusk Holdings)</v>
      </c>
      <c r="G587" s="98">
        <f>'Active and Pre-IPO SPACs'!P588</f>
        <v>44265</v>
      </c>
      <c r="H587" s="99">
        <f>'Active and Pre-IPO SPACs'!Q588</f>
        <v>345</v>
      </c>
      <c r="I587" s="100" t="str">
        <f>'Active and Pre-IPO SPACs'!M588</f>
        <v>U: [1/3 W]; W: [1:1, $11.5]</v>
      </c>
    </row>
    <row r="588">
      <c r="A588" s="78" t="str">
        <f>'Active and Pre-IPO SPACs'!A589</f>
        <v>PUCK</v>
      </c>
      <c r="B588" s="95" t="str">
        <f>'Active and Pre-IPO SPACs'!B589</f>
        <v>Goal Acquisitions Corp.</v>
      </c>
      <c r="C588" s="95" t="str">
        <f>'Active and Pre-IPO SPACs'!C589</f>
        <v>Searching</v>
      </c>
      <c r="D588" s="91" t="str">
        <f>'Active and Pre-IPO SPACs'!D589</f>
        <v>Professional Sports Teams &amp; media, including sports tech, gaming &amp; e-sports</v>
      </c>
      <c r="E588" s="96" t="str">
        <f>'Active and Pre-IPO SPACs'!E589</f>
        <v/>
      </c>
      <c r="F588" s="97" t="str">
        <f>'Active and Pre-IPO SPACs'!F589</f>
        <v>Harvey Schiller (Fmr Exec Director, US Olympic Committee; Fmr CEO, YankeeNets), Jon Miller (Fmr Chairman/CEO, AOL; Director, AMC Networks)</v>
      </c>
      <c r="G588" s="98">
        <f>'Active and Pre-IPO SPACs'!P589</f>
        <v>44237</v>
      </c>
      <c r="H588" s="99">
        <f>'Active and Pre-IPO SPACs'!Q589</f>
        <v>258.75</v>
      </c>
      <c r="I588" s="100" t="str">
        <f>'Active and Pre-IPO SPACs'!M589</f>
        <v>U: [1 W]; W: [1:1, $11.5]</v>
      </c>
    </row>
    <row r="589">
      <c r="A589" s="78" t="str">
        <f>'Active and Pre-IPO SPACs'!A590</f>
        <v>PV</v>
      </c>
      <c r="B589" s="95" t="str">
        <f>'Active and Pre-IPO SPACs'!B590</f>
        <v>Primavera Capital Acquisition Corporation </v>
      </c>
      <c r="C589" s="95" t="str">
        <f>'Active and Pre-IPO SPACs'!C590</f>
        <v>Searching</v>
      </c>
      <c r="D589" s="91" t="str">
        <f>'Active and Pre-IPO SPACs'!D590</f>
        <v>China, Consumer</v>
      </c>
      <c r="E589" s="96" t="str">
        <f>'Active and Pre-IPO SPACs'!E590</f>
        <v/>
      </c>
      <c r="F589" s="97" t="str">
        <f>'Active and Pre-IPO SPACs'!F590</f>
        <v>Muktesh Pant (Fmr CEO, Yum China; Fmr CEO, KFC Division (Yum); Fmr CMO, Yum Restaurants International)</v>
      </c>
      <c r="G589" s="98">
        <f>'Active and Pre-IPO SPACs'!P590</f>
        <v>44217</v>
      </c>
      <c r="H589" s="99">
        <f>'Active and Pre-IPO SPACs'!Q590</f>
        <v>414</v>
      </c>
      <c r="I589" s="100" t="str">
        <f>'Active and Pre-IPO SPACs'!M590</f>
        <v>U: [1/2 W]; W: [1:1, $11.5]</v>
      </c>
    </row>
    <row r="590">
      <c r="A590" s="78" t="str">
        <f>'Active and Pre-IPO SPACs'!A591</f>
        <v>QELL</v>
      </c>
      <c r="B590" s="95" t="str">
        <f>'Active and Pre-IPO SPACs'!B591</f>
        <v>Qell Acquisition Corp.</v>
      </c>
      <c r="C590" s="95" t="str">
        <f>'Active and Pre-IPO SPACs'!C591</f>
        <v>Definitive Agreement</v>
      </c>
      <c r="D590" s="91" t="str">
        <f>'Active and Pre-IPO SPACs'!D591</f>
        <v>Next-generation Mobility, Transportation, Sustainable Industrial Technology</v>
      </c>
      <c r="E590" s="96" t="str">
        <f>'Active and Pre-IPO SPACs'!E591</f>
        <v>Lilium [DA: 03/30/21]</v>
      </c>
      <c r="F590" s="97" t="str">
        <f>'Active and Pre-IPO SPACs'!F591</f>
        <v>Barry Engle (Fmr President, GM North America; CEO, Agility Fuel Systems; CEO, Ford Canada), Kathleen Ligocki (Fmr CEO, Agility Fuel Solutions), Ryan Popple (Partner, R7 Partners; Director, Proterra)</v>
      </c>
      <c r="G590" s="98">
        <f>'Active and Pre-IPO SPACs'!P591</f>
        <v>44104</v>
      </c>
      <c r="H590" s="99">
        <f>'Active and Pre-IPO SPACs'!Q591</f>
        <v>379.5</v>
      </c>
      <c r="I590" s="100" t="str">
        <f>'Active and Pre-IPO SPACs'!M591</f>
        <v>U: [1/3 W]; W: [1:1, $11.5]</v>
      </c>
    </row>
    <row r="591">
      <c r="A591" s="78" t="str">
        <f>'Active and Pre-IPO SPACs'!A592</f>
        <v>QFTA</v>
      </c>
      <c r="B591" s="95" t="str">
        <f>'Active and Pre-IPO SPACs'!B592</f>
        <v>Quantum FinTech Acquisition Corporation</v>
      </c>
      <c r="C591" s="95" t="str">
        <f>'Active and Pre-IPO SPACs'!C592</f>
        <v>Searching</v>
      </c>
      <c r="D591" s="91" t="str">
        <f>'Active and Pre-IPO SPACs'!D592</f>
        <v>FinTech, Financial Services</v>
      </c>
      <c r="E591" s="96" t="str">
        <f>'Active and Pre-IPO SPACs'!E592</f>
        <v/>
      </c>
      <c r="F591" s="97" t="str">
        <f>'Active and Pre-IPO SPACs'!F592</f>
        <v>Richard Korhammer (Fmr Managing Director, Chardan)</v>
      </c>
      <c r="G591" s="98">
        <f>'Active and Pre-IPO SPACs'!P592</f>
        <v>44231</v>
      </c>
      <c r="H591" s="99">
        <f>'Active and Pre-IPO SPACs'!Q592</f>
        <v>175</v>
      </c>
      <c r="I591" s="100" t="str">
        <f>'Active and Pre-IPO SPACs'!M592</f>
        <v>U: [1 W]; W: [2:1, $11.5]</v>
      </c>
    </row>
    <row r="592">
      <c r="A592" s="103" t="str">
        <f>'Active and Pre-IPO SPACs'!A593</f>
        <v>QNZL</v>
      </c>
      <c r="B592" s="95" t="str">
        <f>'Active and Pre-IPO SPACs'!B593</f>
        <v>Quinzel Acquisition Co</v>
      </c>
      <c r="C592" s="95" t="str">
        <f>'Active and Pre-IPO SPACs'!C593</f>
        <v>Pre IPO</v>
      </c>
      <c r="D592" s="91" t="str">
        <f>'Active and Pre-IPO SPACs'!D593</f>
        <v/>
      </c>
      <c r="E592" s="96" t="str">
        <f>'Active and Pre-IPO SPACs'!E593</f>
        <v/>
      </c>
      <c r="F592" s="97" t="str">
        <f>'Active and Pre-IPO SPACs'!F593</f>
        <v/>
      </c>
      <c r="G592" s="98" t="str">
        <f>'Active and Pre-IPO SPACs'!P593</f>
        <v/>
      </c>
      <c r="H592" s="99">
        <f>'Active and Pre-IPO SPACs'!Q593</f>
        <v>200</v>
      </c>
      <c r="I592" s="100" t="str">
        <f>'Active and Pre-IPO SPACs'!M593</f>
        <v>U: [1/2 W]; W: [1:1, $11.5]</v>
      </c>
    </row>
    <row r="593">
      <c r="A593" s="103" t="str">
        <f>'Active and Pre-IPO SPACs'!A594</f>
        <v>QPAA</v>
      </c>
      <c r="B593" s="95" t="str">
        <f>'Active and Pre-IPO SPACs'!B594</f>
        <v>Quiet Plus I Acquisition Corp.</v>
      </c>
      <c r="C593" s="95" t="str">
        <f>'Active and Pre-IPO SPACs'!C594</f>
        <v>Pre IPO</v>
      </c>
      <c r="D593" s="101" t="str">
        <f>'Active and Pre-IPO SPACs'!D594</f>
        <v>Tech</v>
      </c>
      <c r="E593" s="96" t="str">
        <f>'Active and Pre-IPO SPACs'!E594</f>
        <v/>
      </c>
      <c r="F593" s="97" t="str">
        <f>'Active and Pre-IPO SPACs'!F594</f>
        <v>Matthew Humphrey (Founder/MP, Quiet Capital; Co-Founder/Fmr CEO, LendingHome), Michael Preysman (Founder/CEO, Everlane), Khozema Shipchandler (CFO, Twilio), Jessica Holscott (Fmr CFO, HBO), Payal Kadakia (Founder/Exec Chairman, ClassPass)</v>
      </c>
      <c r="G593" s="98" t="str">
        <f>'Active and Pre-IPO SPACs'!P594</f>
        <v/>
      </c>
      <c r="H593" s="99">
        <f>'Active and Pre-IPO SPACs'!Q594</f>
        <v>250</v>
      </c>
      <c r="I593" s="100" t="str">
        <f>'Active and Pre-IPO SPACs'!M594</f>
        <v>U: [1/4 W]; W: [1:1, $11.5]</v>
      </c>
    </row>
    <row r="594">
      <c r="A594" s="103" t="str">
        <f>'Active and Pre-IPO SPACs'!A595</f>
        <v>QWNB</v>
      </c>
      <c r="B594" s="95" t="str">
        <f>'Active and Pre-IPO SPACs'!B595</f>
        <v>Queen's Gambit Growth Capital II</v>
      </c>
      <c r="C594" s="95" t="str">
        <f>'Active and Pre-IPO SPACs'!C595</f>
        <v>Pre IPO</v>
      </c>
      <c r="D594" s="101" t="str">
        <f>'Active and Pre-IPO SPACs'!D595</f>
        <v>"Solutions promoting sustainable development, economic growth and prosperity"</v>
      </c>
      <c r="E594" s="96" t="str">
        <f>'Active and Pre-IPO SPACs'!E595</f>
        <v/>
      </c>
      <c r="F594" s="97" t="str">
        <f>'Active and Pre-IPO SPACs'!F595</f>
        <v>Victoria Grace (CEO of Colle Capital Partners), Anastasia Nyrkovskaya (CFO of Fortune Media), Lone Fonss Schroder (Director of IKEA Group and Volvo Car Group)</v>
      </c>
      <c r="G594" s="98" t="str">
        <f>'Active and Pre-IPO SPACs'!P595</f>
        <v/>
      </c>
      <c r="H594" s="99">
        <f>'Active and Pre-IPO SPACs'!Q595</f>
        <v>300</v>
      </c>
      <c r="I594" s="100" t="str">
        <f>'Active and Pre-IPO SPACs'!M595</f>
        <v>U: [1/4 W]; W: [1:1, $11.5]</v>
      </c>
    </row>
    <row r="595">
      <c r="A595" s="78" t="str">
        <f>'Active and Pre-IPO SPACs'!A596</f>
        <v>RAAC</v>
      </c>
      <c r="B595" s="95" t="str">
        <f>'Active and Pre-IPO SPACs'!B596</f>
        <v>Revolution Acceleration Acquisition Corp</v>
      </c>
      <c r="C595" s="95" t="str">
        <f>'Active and Pre-IPO SPACs'!C596</f>
        <v>Definitive Agreement</v>
      </c>
      <c r="D595" s="91" t="str">
        <f>'Active and Pre-IPO SPACs'!D596</f>
        <v>Financial Services, Healthcare, Tech, Consumer and Media</v>
      </c>
      <c r="E595" s="96" t="str">
        <f>'Active and Pre-IPO SPACs'!E596</f>
        <v>Berkshire Grey [DA: 02/24/21]</v>
      </c>
      <c r="F595" s="97" t="str">
        <f>'Active and Pre-IPO SPACs'!F596</f>
        <v>Steve Case (Fmr CEO, AOL; CEO, Revolution), John Delaney (Fmr US House Rep)</v>
      </c>
      <c r="G595" s="98">
        <f>'Active and Pre-IPO SPACs'!P596</f>
        <v>44172</v>
      </c>
      <c r="H595" s="99">
        <f>'Active and Pre-IPO SPACs'!Q596</f>
        <v>287.5</v>
      </c>
      <c r="I595" s="100" t="str">
        <f>'Active and Pre-IPO SPACs'!M596</f>
        <v>U: [1/3 W]; W: [1:1, $11.5]</v>
      </c>
    </row>
    <row r="596">
      <c r="A596" s="78" t="str">
        <f>'Active and Pre-IPO SPACs'!A597</f>
        <v>RACA</v>
      </c>
      <c r="B596" s="95" t="str">
        <f>'Active and Pre-IPO SPACs'!B597</f>
        <v>Therapeutics Acquisition Corp (d/b/a Research Alliance Corp)</v>
      </c>
      <c r="C596" s="95" t="str">
        <f>'Active and Pre-IPO SPACs'!C597</f>
        <v>Definitive Agreement</v>
      </c>
      <c r="D596" s="91" t="str">
        <f>'Active and Pre-IPO SPACs'!D597</f>
        <v>Healthcare</v>
      </c>
      <c r="E596" s="96" t="str">
        <f>'Active and Pre-IPO SPACs'!E597</f>
        <v>POINT Biopharma [DA: 03/15/21]</v>
      </c>
      <c r="F596" s="97" t="str">
        <f>'Active and Pre-IPO SPACs'!F597</f>
        <v/>
      </c>
      <c r="G596" s="98">
        <f>'Active and Pre-IPO SPACs'!P597</f>
        <v>44020</v>
      </c>
      <c r="H596" s="99">
        <f>'Active and Pre-IPO SPACs'!Q597</f>
        <v>135.7</v>
      </c>
      <c r="I596" s="100" t="str">
        <f>'Active and Pre-IPO SPACs'!M597</f>
        <v>U: [No units]; W: [No warrants]</v>
      </c>
    </row>
    <row r="597">
      <c r="A597" s="103" t="str">
        <f>'Active and Pre-IPO SPACs'!A598</f>
        <v>RACB</v>
      </c>
      <c r="B597" s="95" t="str">
        <f>'Active and Pre-IPO SPACs'!B598</f>
        <v>Research Alliance Corp. II</v>
      </c>
      <c r="C597" s="95" t="str">
        <f>'Active and Pre-IPO SPACs'!C598</f>
        <v>Searching</v>
      </c>
      <c r="D597" s="101" t="str">
        <f>'Active and Pre-IPO SPACs'!D598</f>
        <v>Healthcare, Biotech</v>
      </c>
      <c r="E597" s="96" t="str">
        <f>'Active and Pre-IPO SPACs'!E598</f>
        <v/>
      </c>
      <c r="F597" s="97" t="str">
        <f>'Active and Pre-IPO SPACs'!F598</f>
        <v/>
      </c>
      <c r="G597" s="98">
        <f>'Active and Pre-IPO SPACs'!P598</f>
        <v>44273</v>
      </c>
      <c r="H597" s="99">
        <f>'Active and Pre-IPO SPACs'!Q598</f>
        <v>149.5</v>
      </c>
      <c r="I597" s="100" t="str">
        <f>'Active and Pre-IPO SPACs'!M598</f>
        <v>U: [No Units]; W: [No Warrants]</v>
      </c>
    </row>
    <row r="598">
      <c r="A598" s="103" t="str">
        <f>'Active and Pre-IPO SPACs'!A599</f>
        <v>RAII</v>
      </c>
      <c r="B598" s="95" t="str">
        <f>'Active and Pre-IPO SPACs'!B599</f>
        <v>Revolution Acceleration Acquisition Corp II</v>
      </c>
      <c r="C598" s="95" t="str">
        <f>'Active and Pre-IPO SPACs'!C599</f>
        <v>Pre IPO</v>
      </c>
      <c r="D598" s="101" t="str">
        <f>'Active and Pre-IPO SPACs'!D599</f>
        <v>Financial Services, Healthcare, Tech, Consumer and Media</v>
      </c>
      <c r="E598" s="96" t="str">
        <f>'Active and Pre-IPO SPACs'!E599</f>
        <v/>
      </c>
      <c r="F598" s="97" t="str">
        <f>'Active and Pre-IPO SPACs'!F599</f>
        <v>Steve Case (Fmr CEO, AOL; CEO, Revolution), John Delaney (Fmr US House Rep), Robert Bass (Director of Redfin, Groupon, and Former Vice Chairman of Deloitte)</v>
      </c>
      <c r="G598" s="98" t="str">
        <f>'Active and Pre-IPO SPACs'!P599</f>
        <v/>
      </c>
      <c r="H598" s="99">
        <f>'Active and Pre-IPO SPACs'!Q599</f>
        <v>250</v>
      </c>
      <c r="I598" s="100" t="str">
        <f>'Active and Pre-IPO SPACs'!M599</f>
        <v>U: [1/4 W]; W: [1:1, $11.5]</v>
      </c>
    </row>
    <row r="599">
      <c r="A599" s="103" t="str">
        <f>'Active and Pre-IPO SPACs'!A600</f>
        <v>RAM</v>
      </c>
      <c r="B599" s="95" t="str">
        <f>'Active and Pre-IPO SPACs'!B600</f>
        <v>Aries I Acquisition Corp.</v>
      </c>
      <c r="C599" s="95" t="str">
        <f>'Active and Pre-IPO SPACs'!C600</f>
        <v>Pre IPO</v>
      </c>
      <c r="D599" s="101" t="str">
        <f>'Active and Pre-IPO SPACs'!D600</f>
        <v>Tech</v>
      </c>
      <c r="E599" s="96" t="str">
        <f>'Active and Pre-IPO SPACs'!E600</f>
        <v/>
      </c>
      <c r="F599" s="97" t="str">
        <f>'Active and Pre-IPO SPACs'!F600</f>
        <v>Thane Ritchie</v>
      </c>
      <c r="G599" s="98" t="str">
        <f>'Active and Pre-IPO SPACs'!P600</f>
        <v/>
      </c>
      <c r="H599" s="99">
        <f>'Active and Pre-IPO SPACs'!Q600</f>
        <v>175</v>
      </c>
      <c r="I599" s="100" t="str">
        <f>'Active and Pre-IPO SPACs'!M600</f>
        <v>U: [1/3 W]; W: [1:1, $11.5]</v>
      </c>
    </row>
    <row r="600">
      <c r="A600" s="78" t="str">
        <f>'Active and Pre-IPO SPACs'!A601</f>
        <v>RBAC</v>
      </c>
      <c r="B600" s="95" t="str">
        <f>'Active and Pre-IPO SPACs'!B601</f>
        <v>RedBall Acquisition Corp.</v>
      </c>
      <c r="C600" s="95" t="str">
        <f>'Active and Pre-IPO SPACs'!C601</f>
        <v>Searching</v>
      </c>
      <c r="D600" s="91" t="str">
        <f>'Active and Pre-IPO SPACs'!D601</f>
        <v>Sports, Media, Data Analytics, Professional Sports Franchises</v>
      </c>
      <c r="E600" s="96" t="str">
        <f>'Active and Pre-IPO SPACs'!E601</f>
        <v/>
      </c>
      <c r="F600" s="97" t="str">
        <f>'Active and Pre-IPO SPACs'!F601</f>
        <v>Gerald Cardinale (Founder, RedBird), Billy Beane (Exec VP, Oakland A's)</v>
      </c>
      <c r="G600" s="98">
        <f>'Active and Pre-IPO SPACs'!P601</f>
        <v>44055</v>
      </c>
      <c r="H600" s="99">
        <f>'Active and Pre-IPO SPACs'!Q601</f>
        <v>575</v>
      </c>
      <c r="I600" s="100" t="str">
        <f>'Active and Pre-IPO SPACs'!M601</f>
        <v>U: [1/3 W]; W: [1:1, $11.5]</v>
      </c>
    </row>
    <row r="601">
      <c r="A601" s="103" t="str">
        <f>'Active and Pre-IPO SPACs'!A602</f>
        <v>RCDA</v>
      </c>
      <c r="B601" s="95" t="str">
        <f>'Active and Pre-IPO SPACs'!B602</f>
        <v>Red Cell DRM Acquisition Corp.</v>
      </c>
      <c r="C601" s="95" t="str">
        <f>'Active and Pre-IPO SPACs'!C602</f>
        <v>Pre IPO</v>
      </c>
      <c r="D601" s="101" t="str">
        <f>'Active and Pre-IPO SPACs'!D602</f>
        <v>Renewable and Transition Energy, Sustainability</v>
      </c>
      <c r="E601" s="96" t="str">
        <f>'Active and Pre-IPO SPACs'!E602</f>
        <v/>
      </c>
      <c r="F601" s="97" t="str">
        <f>'Active and Pre-IPO SPACs'!F602</f>
        <v/>
      </c>
      <c r="G601" s="98" t="str">
        <f>'Active and Pre-IPO SPACs'!P602</f>
        <v/>
      </c>
      <c r="H601" s="99">
        <f>'Active and Pre-IPO SPACs'!Q602</f>
        <v>250</v>
      </c>
      <c r="I601" s="100" t="str">
        <f>'Active and Pre-IPO SPACs'!M602</f>
        <v>U: [1/3 W]; W: [1:1, $11.5]</v>
      </c>
    </row>
    <row r="602">
      <c r="A602" s="78" t="str">
        <f>'Active and Pre-IPO SPACs'!A603</f>
        <v>RCHG</v>
      </c>
      <c r="B602" s="95" t="str">
        <f>'Active and Pre-IPO SPACs'!B603</f>
        <v>Recharge Acquisition Corp</v>
      </c>
      <c r="C602" s="95" t="str">
        <f>'Active and Pre-IPO SPACs'!C603</f>
        <v>Searching</v>
      </c>
      <c r="D602" s="91" t="str">
        <f>'Active and Pre-IPO SPACs'!D603</f>
        <v/>
      </c>
      <c r="E602" s="96" t="str">
        <f>'Active and Pre-IPO SPACs'!E603</f>
        <v/>
      </c>
      <c r="F602" s="97" t="str">
        <f>'Active and Pre-IPO SPACs'!F603</f>
        <v>Anthony Kenney (Fmr President, Speedway Division of Marathon), Mitchell Steenrod (former CFO, Pilot Flying J, Board of CarMax), John Bachman (Fmr COO of assurance practice, PwC)</v>
      </c>
      <c r="G602" s="98">
        <f>'Active and Pre-IPO SPACs'!P603</f>
        <v>44104</v>
      </c>
      <c r="H602" s="99">
        <f>'Active and Pre-IPO SPACs'!Q603</f>
        <v>202</v>
      </c>
      <c r="I602" s="100" t="str">
        <f>'Active and Pre-IPO SPACs'!M603</f>
        <v>U: [1/2 W]; W: [1:1, $11.5]</v>
      </c>
    </row>
    <row r="603">
      <c r="A603" s="78" t="str">
        <f>'Active and Pre-IPO SPACs'!A604</f>
        <v>RCLF</v>
      </c>
      <c r="B603" s="95" t="str">
        <f>'Active and Pre-IPO SPACs'!B604</f>
        <v>Rosecliff Acquisition Corp I</v>
      </c>
      <c r="C603" s="95" t="str">
        <f>'Active and Pre-IPO SPACs'!C604</f>
        <v>Searching</v>
      </c>
      <c r="D603" s="91" t="str">
        <f>'Active and Pre-IPO SPACs'!D604</f>
        <v>Tech</v>
      </c>
      <c r="E603" s="96" t="str">
        <f>'Active and Pre-IPO SPACs'!E604</f>
        <v/>
      </c>
      <c r="F603" s="97" t="str">
        <f>'Active and Pre-IPO SPACs'!F604</f>
        <v>Michael Murphy (Founder/MP, Rosecliff Capital), Jordan Zimmerman (Founder, Zimmerman Advertising)</v>
      </c>
      <c r="G603" s="98">
        <f>'Active and Pre-IPO SPACs'!P604</f>
        <v>44238</v>
      </c>
      <c r="H603" s="99">
        <f>'Active and Pre-IPO SPACs'!Q604</f>
        <v>253</v>
      </c>
      <c r="I603" s="100" t="str">
        <f>'Active and Pre-IPO SPACs'!M604</f>
        <v>U: [1/3 W]; W: [1:1, $11.5]</v>
      </c>
    </row>
    <row r="604">
      <c r="A604" s="103" t="str">
        <f>'Active and Pre-IPO SPACs'!A605</f>
        <v>RCPI</v>
      </c>
      <c r="B604" s="95" t="str">
        <f>'Active and Pre-IPO SPACs'!B605</f>
        <v>Reverence Acquisition Corp.</v>
      </c>
      <c r="C604" s="95" t="str">
        <f>'Active and Pre-IPO SPACs'!C605</f>
        <v>Pre IPO</v>
      </c>
      <c r="D604" s="101" t="str">
        <f>'Active and Pre-IPO SPACs'!D605</f>
        <v>Financial Services, Fintech</v>
      </c>
      <c r="E604" s="96" t="str">
        <f>'Active and Pre-IPO SPACs'!E605</f>
        <v/>
      </c>
      <c r="F604" s="97" t="str">
        <f>'Active and Pre-IPO SPACs'!F605</f>
        <v/>
      </c>
      <c r="G604" s="98" t="str">
        <f>'Active and Pre-IPO SPACs'!P605</f>
        <v/>
      </c>
      <c r="H604" s="99">
        <f>'Active and Pre-IPO SPACs'!Q605</f>
        <v>300</v>
      </c>
      <c r="I604" s="100" t="str">
        <f>'Active and Pre-IPO SPACs'!M605</f>
        <v>U: [1/2 W]; W: [1:1, $11.5]</v>
      </c>
    </row>
    <row r="605">
      <c r="A605" s="103" t="str">
        <f>'Active and Pre-IPO SPACs'!A606</f>
        <v>REVH</v>
      </c>
      <c r="B605" s="95" t="str">
        <f>'Active and Pre-IPO SPACs'!B606</f>
        <v>Revolution Healthcare Acquisition Corp.</v>
      </c>
      <c r="C605" s="95" t="str">
        <f>'Active and Pre-IPO SPACs'!C606</f>
        <v>Searching (Pre Unit Split)</v>
      </c>
      <c r="D605" s="101" t="str">
        <f>'Active and Pre-IPO SPACs'!D606</f>
        <v>Healthcare, Healthcare Tech, Life Sciences</v>
      </c>
      <c r="E605" s="96" t="str">
        <f>'Active and Pre-IPO SPACs'!E606</f>
        <v/>
      </c>
      <c r="F605" s="97" t="str">
        <f>'Active and Pre-IPO SPACs'!F606</f>
        <v>Jeff Leiden (Exec Chairman/Fmr CEO, Vertex Pharmaceuticals; Fmr COO, Abbott Laboratories), Robert Nelsen (Co-founder/Managing Director, ARCH), Jennifer Schneider (Fmr Pres/Chief Medical Officer, Livongo Health), Hemant Taneja (Managing Director,  General Catalyst)</v>
      </c>
      <c r="G605" s="98">
        <f>'Active and Pre-IPO SPACs'!P606</f>
        <v>44272</v>
      </c>
      <c r="H605" s="99">
        <f>'Active and Pre-IPO SPACs'!Q606</f>
        <v>500</v>
      </c>
      <c r="I605" s="100" t="str">
        <f>'Active and Pre-IPO SPACs'!M606</f>
        <v>U: [1/5 W]; W: [1:1, $11.5]</v>
      </c>
    </row>
    <row r="606">
      <c r="A606" s="103" t="str">
        <f>'Active and Pre-IPO SPACs'!A607</f>
        <v>RGAC</v>
      </c>
      <c r="B606" s="95" t="str">
        <f>'Active and Pre-IPO SPACs'!B607</f>
        <v>Rocket Global Acquistion Corp.</v>
      </c>
      <c r="C606" s="95" t="str">
        <f>'Active and Pre-IPO SPACs'!C607</f>
        <v>Pre IPO</v>
      </c>
      <c r="D606" s="91" t="str">
        <f>'Active and Pre-IPO SPACs'!D607</f>
        <v/>
      </c>
      <c r="E606" s="96" t="str">
        <f>'Active and Pre-IPO SPACs'!E607</f>
        <v/>
      </c>
      <c r="F606" s="97" t="str">
        <f>'Active and Pre-IPO SPACs'!F607</f>
        <v/>
      </c>
      <c r="G606" s="98" t="str">
        <f>'Active and Pre-IPO SPACs'!P607</f>
        <v/>
      </c>
      <c r="H606" s="99">
        <f>'Active and Pre-IPO SPACs'!Q607</f>
        <v>100</v>
      </c>
      <c r="I606" s="100" t="str">
        <f>'Active and Pre-IPO SPACs'!M607</f>
        <v>U: [No Units]; W: [No Warrants]</v>
      </c>
    </row>
    <row r="607">
      <c r="A607" s="78" t="str">
        <f>'Active and Pre-IPO SPACs'!A608</f>
        <v>RICE</v>
      </c>
      <c r="B607" s="95" t="str">
        <f>'Active and Pre-IPO SPACs'!B608</f>
        <v>Rice Acquisition Corp.</v>
      </c>
      <c r="C607" s="95" t="str">
        <f>'Active and Pre-IPO SPACs'!C608</f>
        <v>Definitive Agreement</v>
      </c>
      <c r="D607" s="91" t="str">
        <f>'Active and Pre-IPO SPACs'!D608</f>
        <v>Energy transition / Sustainability</v>
      </c>
      <c r="E607" s="96" t="str">
        <f>'Active and Pre-IPO SPACs'!E608</f>
        <v>Aria Energy and Archaea Energy [DA: 04/07/21]</v>
      </c>
      <c r="F607" s="97" t="str">
        <f>'Active and Pre-IPO SPACs'!F608</f>
        <v>Daniel Rice, IV (Fmr CEO, Rice Energy), James Torgerson (Fmr CEO, Avangrid),</v>
      </c>
      <c r="G607" s="98">
        <f>'Active and Pre-IPO SPACs'!P608</f>
        <v>44125</v>
      </c>
      <c r="H607" s="99">
        <f>'Active and Pre-IPO SPACs'!Q608</f>
        <v>237.276</v>
      </c>
      <c r="I607" s="100" t="str">
        <f>'Active and Pre-IPO SPACs'!M608</f>
        <v>U: [1/2 W]; W: [1:1, $11.5]</v>
      </c>
    </row>
    <row r="608">
      <c r="A608" s="103" t="str">
        <f>'Active and Pre-IPO SPACs'!A609</f>
        <v>RJAC</v>
      </c>
      <c r="B608" s="95" t="str">
        <f>'Active and Pre-IPO SPACs'!B609</f>
        <v>Jackson Acquisition Co</v>
      </c>
      <c r="C608" s="95" t="str">
        <f>'Active and Pre-IPO SPACs'!C609</f>
        <v>Pre IPO</v>
      </c>
      <c r="D608" s="91" t="str">
        <f>'Active and Pre-IPO SPACs'!D609</f>
        <v>Healthcare, Healthcare Tech</v>
      </c>
      <c r="E608" s="96" t="str">
        <f>'Active and Pre-IPO SPACs'!E609</f>
        <v/>
      </c>
      <c r="F608" s="97" t="str">
        <f>'Active and Pre-IPO SPACs'!F609</f>
        <v>Jeb Bush (Former Governor of Florida), David Perdue (Former US Senator, Former CEO of Reebok, and Former CEO of Dollar General)</v>
      </c>
      <c r="G608" s="98" t="str">
        <f>'Active and Pre-IPO SPACs'!P609</f>
        <v/>
      </c>
      <c r="H608" s="99">
        <f>'Active and Pre-IPO SPACs'!Q609</f>
        <v>300</v>
      </c>
      <c r="I608" s="100" t="str">
        <f>'Active and Pre-IPO SPACs'!M609</f>
        <v>U: [1/3 W]; W: [1:1, $11.5]</v>
      </c>
    </row>
    <row r="609">
      <c r="A609" s="103" t="str">
        <f>'Active and Pre-IPO SPACs'!A610</f>
        <v>RKTA</v>
      </c>
      <c r="B609" s="95" t="str">
        <f>'Active and Pre-IPO SPACs'!B610</f>
        <v>Rocket Internet Growth Opportunities Corp.</v>
      </c>
      <c r="C609" s="95" t="str">
        <f>'Active and Pre-IPO SPACs'!C610</f>
        <v>Searching (Pre Unit Split)</v>
      </c>
      <c r="D609" s="91" t="str">
        <f>'Active and Pre-IPO SPACs'!D610</f>
        <v>Tech, Non-US</v>
      </c>
      <c r="E609" s="96" t="str">
        <f>'Active and Pre-IPO SPACs'!E610</f>
        <v/>
      </c>
      <c r="F609" s="97" t="str">
        <f>'Active and Pre-IPO SPACs'!F610</f>
        <v>Oliver Samwer (Co-Founder/CEO, Rocket Internet)</v>
      </c>
      <c r="G609" s="98">
        <f>'Active and Pre-IPO SPACs'!P610</f>
        <v>44278</v>
      </c>
      <c r="H609" s="99">
        <f>'Active and Pre-IPO SPACs'!Q610</f>
        <v>250</v>
      </c>
      <c r="I609" s="100" t="str">
        <f>'Active and Pre-IPO SPACs'!M610</f>
        <v>U: [1/4 W]; W: [1:1, $11.5]</v>
      </c>
    </row>
    <row r="610">
      <c r="A610" s="78" t="str">
        <f>'Active and Pre-IPO SPACs'!A611</f>
        <v>RMGB</v>
      </c>
      <c r="B610" s="95" t="str">
        <f>'Active and Pre-IPO SPACs'!B611</f>
        <v>RMG Acquisition Corp. II</v>
      </c>
      <c r="C610" s="95" t="str">
        <f>'Active and Pre-IPO SPACs'!C611</f>
        <v>Definitive Agreement</v>
      </c>
      <c r="D610" s="91" t="str">
        <f>'Active and Pre-IPO SPACs'!D611</f>
        <v/>
      </c>
      <c r="E610" s="96" t="str">
        <f>'Active and Pre-IPO SPACs'!E611</f>
        <v>ReNew Power [DA: 02/24/21]</v>
      </c>
      <c r="F610" s="97" t="str">
        <f>'Active and Pre-IPO SPACs'!F611</f>
        <v>James Carpenter (CEO, Riverside Management Group), Edward Forst (Fmr CEO, Cushman &amp; Wakefield), Randel Falco (Fmr Chairman/CEO, AOL), Jeffrey Bornstein (Fmr Vice Chairman/CFO, GE)</v>
      </c>
      <c r="G610" s="98">
        <f>'Active and Pre-IPO SPACs'!P611</f>
        <v>44174</v>
      </c>
      <c r="H610" s="99">
        <f>'Active and Pre-IPO SPACs'!Q611</f>
        <v>345</v>
      </c>
      <c r="I610" s="100" t="str">
        <f>'Active and Pre-IPO SPACs'!M611</f>
        <v>U: [1/3 W]; W: [1:1, $11.5]</v>
      </c>
    </row>
    <row r="611">
      <c r="A611" s="78" t="str">
        <f>'Active and Pre-IPO SPACs'!A612</f>
        <v>RMGC</v>
      </c>
      <c r="B611" s="95" t="str">
        <f>'Active and Pre-IPO SPACs'!B612</f>
        <v>RMG Acquisition Corp. III</v>
      </c>
      <c r="C611" s="95" t="str">
        <f>'Active and Pre-IPO SPACs'!C612</f>
        <v>Searching</v>
      </c>
      <c r="D611" s="91" t="str">
        <f>'Active and Pre-IPO SPACs'!D612</f>
        <v/>
      </c>
      <c r="E611" s="96" t="str">
        <f>'Active and Pre-IPO SPACs'!E612</f>
        <v/>
      </c>
      <c r="F611" s="97" t="str">
        <f>'Active and Pre-IPO SPACs'!F612</f>
        <v>James Carpenter (CEO, Riverside Management Group), Randel Falco (Fmr Chairman/CEO, AOL), Jeffrey Bornstein (Fmr Vice Chairman/CFO, GE), Steven Gilbert (Chairman, Gilbert Global Equity; Director, Oaktree Capital)</v>
      </c>
      <c r="G611" s="98">
        <f>'Active and Pre-IPO SPACs'!P612</f>
        <v>44231</v>
      </c>
      <c r="H611" s="99">
        <f>'Active and Pre-IPO SPACs'!Q612</f>
        <v>483</v>
      </c>
      <c r="I611" s="100" t="str">
        <f>'Active and Pre-IPO SPACs'!M612</f>
        <v>U: [1/5 W]; W: [1:1, $11.5]</v>
      </c>
    </row>
    <row r="612">
      <c r="A612" s="103" t="str">
        <f>'Active and Pre-IPO SPACs'!A613</f>
        <v>RMGD</v>
      </c>
      <c r="B612" s="95" t="str">
        <f>'Active and Pre-IPO SPACs'!B613</f>
        <v>RMG Acquisition Corp. IV</v>
      </c>
      <c r="C612" s="95" t="str">
        <f>'Active and Pre-IPO SPACs'!C613</f>
        <v>Pre IPO</v>
      </c>
      <c r="D612" s="91" t="str">
        <f>'Active and Pre-IPO SPACs'!D613</f>
        <v/>
      </c>
      <c r="E612" s="96" t="str">
        <f>'Active and Pre-IPO SPACs'!E613</f>
        <v/>
      </c>
      <c r="F612" s="97" t="str">
        <f>'Active and Pre-IPO SPACs'!F613</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2" s="98" t="str">
        <f>'Active and Pre-IPO SPACs'!P613</f>
        <v/>
      </c>
      <c r="H612" s="99">
        <f>'Active and Pre-IPO SPACs'!Q613</f>
        <v>275</v>
      </c>
      <c r="I612" s="100" t="str">
        <f>'Active and Pre-IPO SPACs'!M613</f>
        <v>U: [1/5 W]; W: [1:1, $11.5]</v>
      </c>
    </row>
    <row r="613">
      <c r="A613" s="103" t="str">
        <f>'Active and Pre-IPO SPACs'!A614</f>
        <v>RMGE</v>
      </c>
      <c r="B613" s="95" t="str">
        <f>'Active and Pre-IPO SPACs'!B614</f>
        <v>RMG Acquisition Corp. V</v>
      </c>
      <c r="C613" s="95" t="str">
        <f>'Active and Pre-IPO SPACs'!C614</f>
        <v>Pre IPO</v>
      </c>
      <c r="D613" s="91" t="str">
        <f>'Active and Pre-IPO SPACs'!D614</f>
        <v/>
      </c>
      <c r="E613" s="96" t="str">
        <f>'Active and Pre-IPO SPACs'!E614</f>
        <v/>
      </c>
      <c r="F613" s="97" t="str">
        <f>'Active and Pre-IPO SPACs'!F614</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3" s="98" t="str">
        <f>'Active and Pre-IPO SPACs'!P614</f>
        <v/>
      </c>
      <c r="H613" s="99">
        <f>'Active and Pre-IPO SPACs'!Q614</f>
        <v>425</v>
      </c>
      <c r="I613" s="100" t="str">
        <f>'Active and Pre-IPO SPACs'!M614</f>
        <v>U: [1/5 W]; W: [1:1, $11.5]</v>
      </c>
    </row>
    <row r="614">
      <c r="A614" s="103" t="str">
        <f>'Active and Pre-IPO SPACs'!A615</f>
        <v>RMGF</v>
      </c>
      <c r="B614" s="95" t="str">
        <f>'Active and Pre-IPO SPACs'!B615</f>
        <v>RMG Acquisition Corp. VI</v>
      </c>
      <c r="C614" s="95" t="str">
        <f>'Active and Pre-IPO SPACs'!C615</f>
        <v>Pre IPO</v>
      </c>
      <c r="D614" s="91" t="str">
        <f>'Active and Pre-IPO SPACs'!D615</f>
        <v/>
      </c>
      <c r="E614" s="96" t="str">
        <f>'Active and Pre-IPO SPACs'!E615</f>
        <v/>
      </c>
      <c r="F614" s="97" t="str">
        <f>'Active and Pre-IPO SPACs'!F615</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4" s="98" t="str">
        <f>'Active and Pre-IPO SPACs'!P615</f>
        <v/>
      </c>
      <c r="H614" s="99">
        <f>'Active and Pre-IPO SPACs'!Q615</f>
        <v>575</v>
      </c>
      <c r="I614" s="100" t="str">
        <f>'Active and Pre-IPO SPACs'!M615</f>
        <v>U: [1/5 W]; W: [1:1, $11.5]</v>
      </c>
    </row>
    <row r="615">
      <c r="A615" s="103" t="str">
        <f>'Active and Pre-IPO SPACs'!A616</f>
        <v>RMGG</v>
      </c>
      <c r="B615" s="95" t="str">
        <f>'Active and Pre-IPO SPACs'!B616</f>
        <v>RMG Acquisition Corp. VII</v>
      </c>
      <c r="C615" s="95" t="str">
        <f>'Active and Pre-IPO SPACs'!C616</f>
        <v>Pre IPO</v>
      </c>
      <c r="D615" s="91" t="str">
        <f>'Active and Pre-IPO SPACs'!D616</f>
        <v/>
      </c>
      <c r="E615" s="96" t="str">
        <f>'Active and Pre-IPO SPACs'!E616</f>
        <v/>
      </c>
      <c r="F615" s="97" t="str">
        <f>'Active and Pre-IPO SPACs'!F616</f>
        <v>James Carpenter (CEO of Riverside Management Group), Robert Mancini (Chairman of Romeo Power), Jeffrey Bornstein (Former Vice Chairman &amp; CFO of GE), Randel Falco (Former Chairman &amp; CEO of AOL), Edward Forst (Former CEO of Cushman &amp; Wakefield), Eric Smith (Former CEO of Swiss Re Americas)</v>
      </c>
      <c r="G615" s="98" t="str">
        <f>'Active and Pre-IPO SPACs'!P616</f>
        <v/>
      </c>
      <c r="H615" s="99">
        <f>'Active and Pre-IPO SPACs'!Q616</f>
        <v>725</v>
      </c>
      <c r="I615" s="100" t="str">
        <f>'Active and Pre-IPO SPACs'!M616</f>
        <v>U: [1/5 W]; W: [1:1, $11.5]</v>
      </c>
    </row>
    <row r="616">
      <c r="A616" s="78" t="str">
        <f>'Active and Pre-IPO SPACs'!A617</f>
        <v>ROCC</v>
      </c>
      <c r="B616" s="95" t="str">
        <f>'Active and Pre-IPO SPACs'!B617</f>
        <v>Roth CH Acquisition II Co</v>
      </c>
      <c r="C616" s="95" t="str">
        <f>'Active and Pre-IPO SPACs'!C617</f>
        <v>Searching</v>
      </c>
      <c r="D616" s="91" t="str">
        <f>'Active and Pre-IPO SPACs'!D617</f>
        <v>Business Services, Consumer, Healthcare, Tech, Wellness, Sustainability</v>
      </c>
      <c r="E616" s="96" t="str">
        <f>'Active and Pre-IPO SPACs'!E617</f>
        <v>[In talks (unconfirmed) with Reservoir Media Management: Per Bloomberg 3/25/21]</v>
      </c>
      <c r="F616" s="97" t="str">
        <f>'Active and Pre-IPO SPACs'!F617</f>
        <v>Byron Roth (CEO, Roth)</v>
      </c>
      <c r="G616" s="98">
        <f>'Active and Pre-IPO SPACs'!P617</f>
        <v>44175</v>
      </c>
      <c r="H616" s="99">
        <f>'Active and Pre-IPO SPACs'!Q617</f>
        <v>115</v>
      </c>
      <c r="I616" s="100" t="str">
        <f>'Active and Pre-IPO SPACs'!M617</f>
        <v>U: [1/2 W]; W: [1:1, $11.5]</v>
      </c>
    </row>
    <row r="617">
      <c r="A617" s="78" t="str">
        <f>'Active and Pre-IPO SPACs'!A618</f>
        <v>ROCR</v>
      </c>
      <c r="B617" s="95" t="str">
        <f>'Active and Pre-IPO SPACs'!B618</f>
        <v>Roth CH Acquisition III Co.</v>
      </c>
      <c r="C617" s="95" t="str">
        <f>'Active and Pre-IPO SPACs'!C618</f>
        <v>Searching</v>
      </c>
      <c r="D617" s="91" t="str">
        <f>'Active and Pre-IPO SPACs'!D618</f>
        <v>Business Services, Consumer, Healthcare, Tech, Wellness, Sustainability</v>
      </c>
      <c r="E617" s="96" t="str">
        <f>'Active and Pre-IPO SPACs'!E618</f>
        <v/>
      </c>
      <c r="F617" s="97" t="str">
        <f>'Active and Pre-IPO SPACs'!F618</f>
        <v>Byron Roth (CEO, Roth)</v>
      </c>
      <c r="G617" s="98">
        <f>'Active and Pre-IPO SPACs'!P618</f>
        <v>44257</v>
      </c>
      <c r="H617" s="99">
        <f>'Active and Pre-IPO SPACs'!Q618</f>
        <v>115</v>
      </c>
      <c r="I617" s="100" t="str">
        <f>'Active and Pre-IPO SPACs'!M618</f>
        <v>U: [1/4 W]; W: [1:1, $11.5]</v>
      </c>
    </row>
    <row r="618">
      <c r="A618" s="103" t="str">
        <f>'Active and Pre-IPO SPACs'!A619</f>
        <v>RONI</v>
      </c>
      <c r="B618" s="95" t="str">
        <f>'Active and Pre-IPO SPACs'!B619</f>
        <v>Rice Acquisition Corp. II</v>
      </c>
      <c r="C618" s="95" t="str">
        <f>'Active and Pre-IPO SPACs'!C619</f>
        <v>Pre IPO</v>
      </c>
      <c r="D618" s="91" t="str">
        <f>'Active and Pre-IPO SPACs'!D619</f>
        <v>Energy Transition, Sustainability</v>
      </c>
      <c r="E618" s="96" t="str">
        <f>'Active and Pre-IPO SPACs'!E619</f>
        <v/>
      </c>
      <c r="F618" s="97" t="str">
        <f>'Active and Pre-IPO SPACs'!F619</f>
        <v>Daniel Rice, IV (Fmr CEO, Rice Energy)</v>
      </c>
      <c r="G618" s="98" t="str">
        <f>'Active and Pre-IPO SPACs'!P619</f>
        <v/>
      </c>
      <c r="H618" s="99">
        <f>'Active and Pre-IPO SPACs'!Q619</f>
        <v>250</v>
      </c>
      <c r="I618" s="100" t="str">
        <f>'Active and Pre-IPO SPACs'!M619</f>
        <v>U: [1/4 W]; W: [1:1, $11.5]</v>
      </c>
    </row>
    <row r="619">
      <c r="A619" s="78" t="str">
        <f>'Active and Pre-IPO SPACs'!A620</f>
        <v>ROSS</v>
      </c>
      <c r="B619" s="95" t="str">
        <f>'Active and Pre-IPO SPACs'!B620</f>
        <v>Ross Acquisition Corp II</v>
      </c>
      <c r="C619" s="95" t="str">
        <f>'Active and Pre-IPO SPACs'!C620</f>
        <v>Searching (Pre Unit Split)</v>
      </c>
      <c r="D619" s="91" t="str">
        <f>'Active and Pre-IPO SPACs'!D620</f>
        <v>Energy Transition, Sustainability, Tech, Sustainable Manufacturing/Materials</v>
      </c>
      <c r="E619" s="96" t="str">
        <f>'Active and Pre-IPO SPACs'!E620</f>
        <v/>
      </c>
      <c r="F619" s="97" t="str">
        <f>'Active and Pre-IPO SPACs'!F620</f>
        <v>Wilbur L. Ross, Jr. (Fmr Secretary of Commerce under President Trump), Lord William Astor (Chairman, Silvergate Media; Conservative Peer in the House of Lords of the UK Parliament),
Larry Kudlow (Director, National Economic Council for the Trump Administration; Fmr host, "The Kudlow Report" on CNBC)</v>
      </c>
      <c r="G619" s="98">
        <f>'Active and Pre-IPO SPACs'!P620</f>
        <v>44266</v>
      </c>
      <c r="H619" s="99">
        <f>'Active and Pre-IPO SPACs'!Q620</f>
        <v>345</v>
      </c>
      <c r="I619" s="100" t="str">
        <f>'Active and Pre-IPO SPACs'!M620</f>
        <v>U: [1/3 W]; W: [1:1, $11.5]</v>
      </c>
    </row>
    <row r="620">
      <c r="A620" s="78" t="str">
        <f>'Active and Pre-IPO SPACs'!A621</f>
        <v>ROT</v>
      </c>
      <c r="B620" s="95" t="str">
        <f>'Active and Pre-IPO SPACs'!B621</f>
        <v>Rotor Acquisition Corp.</v>
      </c>
      <c r="C620" s="95" t="str">
        <f>'Active and Pre-IPO SPACs'!C621</f>
        <v>Definitive Agreement</v>
      </c>
      <c r="D620" s="91" t="str">
        <f>'Active and Pre-IPO SPACs'!D621</f>
        <v/>
      </c>
      <c r="E620" s="96" t="str">
        <f>'Active and Pre-IPO SPACs'!E621</f>
        <v>Sarcos Robotics [DA: 04/06/21]</v>
      </c>
      <c r="F620" s="97" t="str">
        <f>'Active and Pre-IPO SPACs'!F621</f>
        <v>Brian Finn (Fmr Head of Alternative Investments, Credit Suisse)</v>
      </c>
      <c r="G620" s="98">
        <f>'Active and Pre-IPO SPACs'!P621</f>
        <v>44210</v>
      </c>
      <c r="H620" s="99">
        <f>'Active and Pre-IPO SPACs'!Q621</f>
        <v>276</v>
      </c>
      <c r="I620" s="100" t="str">
        <f>'Active and Pre-IPO SPACs'!M621</f>
        <v>U: [1/2 W]; W: [1:1, $11.5]</v>
      </c>
    </row>
    <row r="621">
      <c r="A621" s="78" t="str">
        <f>'Active and Pre-IPO SPACs'!A622</f>
        <v>RSVA</v>
      </c>
      <c r="B621" s="95" t="str">
        <f>'Active and Pre-IPO SPACs'!B622</f>
        <v>Rodgers Silicon Valley Acquisition Corp.</v>
      </c>
      <c r="C621" s="95" t="str">
        <f>'Active and Pre-IPO SPACs'!C622</f>
        <v>Definitive Agreement</v>
      </c>
      <c r="D621" s="101" t="str">
        <f>'Active and Pre-IPO SPACs'!D622</f>
        <v>Tech (Silicon Valley based) with applications in Energy or Industrials</v>
      </c>
      <c r="E621" s="96" t="str">
        <f>'Active and Pre-IPO SPACs'!E622</f>
        <v>Enovix [DA: 02/22/21]</v>
      </c>
      <c r="F621" s="97" t="str">
        <f>'Active and Pre-IPO SPACs'!F622</f>
        <v>T. J. Rodgers (Co-founder/Fmr CEO, Cypress Semiconductor), Emmanuel Hernandez (Director, ON Semiconductor)</v>
      </c>
      <c r="G621" s="98">
        <f>'Active and Pre-IPO SPACs'!P622</f>
        <v>44167</v>
      </c>
      <c r="H621" s="99">
        <f>'Active and Pre-IPO SPACs'!Q622</f>
        <v>230</v>
      </c>
      <c r="I621" s="100" t="str">
        <f>'Active and Pre-IPO SPACs'!M622</f>
        <v>U: [1/2 W]; W: [1:1, $11.5]</v>
      </c>
    </row>
    <row r="622">
      <c r="A622" s="78" t="str">
        <f>'Active and Pre-IPO SPACs'!A623</f>
        <v>RTP</v>
      </c>
      <c r="B622" s="95" t="str">
        <f>'Active and Pre-IPO SPACs'!B623</f>
        <v>Reinvent Technology Partners</v>
      </c>
      <c r="C622" s="95" t="str">
        <f>'Active and Pre-IPO SPACs'!C623</f>
        <v>Definitive Agreement</v>
      </c>
      <c r="D622" s="91" t="str">
        <f>'Active and Pre-IPO SPACs'!D623</f>
        <v>Consumer Internet, Mobile Gaming, Tech</v>
      </c>
      <c r="E622" s="96" t="str">
        <f>'Active and Pre-IPO SPACs'!E623</f>
        <v>Joby Aviation [DA: 02/24/21]</v>
      </c>
      <c r="F622" s="97" t="str">
        <f>'Active and Pre-IPO SPACs'!F623</f>
        <v>Reid Hoffman (Co-founder and Former CEO, LinkedIn; Former CEO, Paypal; Partner at Greylock), Mark Pincus (Chairman and Former CEO, Zynga)</v>
      </c>
      <c r="G622" s="98">
        <f>'Active and Pre-IPO SPACs'!P623</f>
        <v>44090</v>
      </c>
      <c r="H622" s="99">
        <f>'Active and Pre-IPO SPACs'!Q623</f>
        <v>690</v>
      </c>
      <c r="I622" s="100" t="str">
        <f>'Active and Pre-IPO SPACs'!M623</f>
        <v>U: [1/4 W]; W: [1:1, $11.5]</v>
      </c>
    </row>
    <row r="623">
      <c r="A623" s="103" t="str">
        <f>'Active and Pre-IPO SPACs'!A624</f>
        <v>RTPY</v>
      </c>
      <c r="B623" s="95" t="str">
        <f>'Active and Pre-IPO SPACs'!B624</f>
        <v>Reinvent Technology Partners Y</v>
      </c>
      <c r="C623" s="95" t="str">
        <f>'Active and Pre-IPO SPACs'!C624</f>
        <v>Searching (Pre Unit Split)</v>
      </c>
      <c r="D623" s="101" t="str">
        <f>'Active and Pre-IPO SPACs'!D624</f>
        <v>Tech</v>
      </c>
      <c r="E623" s="96" t="str">
        <f>'Active and Pre-IPO SPACs'!E624</f>
        <v/>
      </c>
      <c r="F623" s="97" t="str">
        <f>'Active and Pre-IPO SPACs'!F624</f>
        <v>Reid Hoffman (Co-founder and Former CEO, LinkedIn; Former CEO, Paypal; Partner at Greylock), Mark Pincus (Chairman and Former CEO, Zynga), Katharina Borchert (Former CEO, Speigel Online)</v>
      </c>
      <c r="G623" s="98">
        <f>'Active and Pre-IPO SPACs'!P624</f>
        <v>44270</v>
      </c>
      <c r="H623" s="99">
        <f>'Active and Pre-IPO SPACs'!Q624</f>
        <v>977.5</v>
      </c>
      <c r="I623" s="100" t="str">
        <f>'Active and Pre-IPO SPACs'!M624</f>
        <v>U: [1/8 W]; W: [1:1, $11.5]</v>
      </c>
    </row>
    <row r="624">
      <c r="A624" s="78" t="str">
        <f>'Active and Pre-IPO SPACs'!A625</f>
        <v>RTPZ</v>
      </c>
      <c r="B624" s="95" t="str">
        <f>'Active and Pre-IPO SPACs'!B625</f>
        <v>Reinvent Technology Partners Z</v>
      </c>
      <c r="C624" s="95" t="str">
        <f>'Active and Pre-IPO SPACs'!C625</f>
        <v>Definitive Agreement</v>
      </c>
      <c r="D624" s="101" t="str">
        <f>'Active and Pre-IPO SPACs'!D625</f>
        <v>Consumer Internet, Mobile Gaming, Tech</v>
      </c>
      <c r="E624" s="96" t="str">
        <f>'Active and Pre-IPO SPACs'!E625</f>
        <v>Hippo [DA: 03/04/21]</v>
      </c>
      <c r="F624" s="97" t="str">
        <f>'Active and Pre-IPO SPACs'!F625</f>
        <v>Reid Hoffman (Co-founder and Former CEO, LinkedIn; Former CEO, Paypal; Partner at Greylock), Mark Pincus (Chairman and Former CEO, Zynga), Julie Hanna (Exec Chair, Kiva), Lee Linden (Co-founder, Karma Science [acq. by Facebook])</v>
      </c>
      <c r="G624" s="98">
        <f>'Active and Pre-IPO SPACs'!P625</f>
        <v>44153</v>
      </c>
      <c r="H624" s="99">
        <f>'Active and Pre-IPO SPACs'!Q625</f>
        <v>230</v>
      </c>
      <c r="I624" s="100" t="str">
        <f>'Active and Pre-IPO SPACs'!M625</f>
        <v>U: [1/5 W]; W: [1:1, $11.5]</v>
      </c>
    </row>
    <row r="625">
      <c r="A625" s="103" t="str">
        <f>'Active and Pre-IPO SPACs'!A626</f>
        <v>RVAC</v>
      </c>
      <c r="B625" s="95" t="str">
        <f>'Active and Pre-IPO SPACs'!B626</f>
        <v>Riverview Acquisition Corp.</v>
      </c>
      <c r="C625" s="95" t="str">
        <f>'Active and Pre-IPO SPACs'!C626</f>
        <v>Pre IPO</v>
      </c>
      <c r="D625" s="91" t="str">
        <f>'Active and Pre-IPO SPACs'!D626</f>
        <v/>
      </c>
      <c r="E625" s="96" t="str">
        <f>'Active and Pre-IPO SPACs'!E626</f>
        <v/>
      </c>
      <c r="F625" s="97" t="str">
        <f>'Active and Pre-IPO SPACs'!F626</f>
        <v/>
      </c>
      <c r="G625" s="98" t="str">
        <f>'Active and Pre-IPO SPACs'!P626</f>
        <v/>
      </c>
      <c r="H625" s="99">
        <f>'Active and Pre-IPO SPACs'!Q626</f>
        <v>250</v>
      </c>
      <c r="I625" s="100" t="str">
        <f>'Active and Pre-IPO SPACs'!M626</f>
        <v>U: [1/2 W]; W: [1:1, $11.5]</v>
      </c>
    </row>
    <row r="626">
      <c r="A626" s="103" t="str">
        <f>'Active and Pre-IPO SPACs'!A627</f>
        <v>RXRA</v>
      </c>
      <c r="B626" s="95" t="str">
        <f>'Active and Pre-IPO SPACs'!B627</f>
        <v>RXR Acquisition Corp.</v>
      </c>
      <c r="C626" s="95" t="str">
        <f>'Active and Pre-IPO SPACs'!C627</f>
        <v>Searching (Pre Unit Split)</v>
      </c>
      <c r="D626" s="101" t="str">
        <f>'Active and Pre-IPO SPACs'!D627</f>
        <v>PropTech</v>
      </c>
      <c r="E626" s="96" t="str">
        <f>'Active and Pre-IPO SPACs'!E627</f>
        <v/>
      </c>
      <c r="F626" s="97" t="str">
        <f>'Active and Pre-IPO SPACs'!F627</f>
        <v>Martin Luther King III (Fmr CEO, The King Center)</v>
      </c>
      <c r="G626" s="98">
        <f>'Active and Pre-IPO SPACs'!P627</f>
        <v>44259</v>
      </c>
      <c r="H626" s="99">
        <f>'Active and Pre-IPO SPACs'!Q627</f>
        <v>345</v>
      </c>
      <c r="I626" s="100" t="str">
        <f>'Active and Pre-IPO SPACs'!M627</f>
        <v>U: [1/5 W]; W: [1:1, $11.5]</v>
      </c>
    </row>
    <row r="627">
      <c r="A627" s="103" t="str">
        <f>'Active and Pre-IPO SPACs'!A628</f>
        <v>SACQ</v>
      </c>
      <c r="B627" s="95" t="str">
        <f>'Active and Pre-IPO SPACs'!B628</f>
        <v>Silverman Acquisition Corp I</v>
      </c>
      <c r="C627" s="95" t="str">
        <f>'Active and Pre-IPO SPACs'!C628</f>
        <v>Pre IPO</v>
      </c>
      <c r="D627" s="91" t="str">
        <f>'Active and Pre-IPO SPACs'!D628</f>
        <v>Consumer and Business Services</v>
      </c>
      <c r="E627" s="96" t="str">
        <f>'Active and Pre-IPO SPACs'!E628</f>
        <v/>
      </c>
      <c r="F627" s="97" t="str">
        <f>'Active and Pre-IPO SPACs'!F628</f>
        <v>Henry Silverman (Former COO &amp; Vice Chairman of Apollo Global Management and Former CEO &amp; Chairman of Cendant), Stephen Holmes (Former Chairman &amp; CEO of Wyndham Worldwide)</v>
      </c>
      <c r="G627" s="98" t="str">
        <f>'Active and Pre-IPO SPACs'!P628</f>
        <v/>
      </c>
      <c r="H627" s="99">
        <f>'Active and Pre-IPO SPACs'!Q628</f>
        <v>250</v>
      </c>
      <c r="I627" s="100" t="str">
        <f>'Active and Pre-IPO SPACs'!M628</f>
        <v>U: [1/3 W]; W: [1:1, $11.5]</v>
      </c>
    </row>
    <row r="628">
      <c r="A628" s="78" t="str">
        <f>'Active and Pre-IPO SPACs'!A629</f>
        <v>SAII</v>
      </c>
      <c r="B628" s="95" t="str">
        <f>'Active and Pre-IPO SPACs'!B629</f>
        <v>Software Acquisition Group Inc. II</v>
      </c>
      <c r="C628" s="95" t="str">
        <f>'Active and Pre-IPO SPACs'!C629</f>
        <v>Definitive Agreement</v>
      </c>
      <c r="D628" s="91" t="str">
        <f>'Active and Pre-IPO SPACs'!D629</f>
        <v>Software, Tech</v>
      </c>
      <c r="E628" s="96" t="str">
        <f>'Active and Pre-IPO SPACs'!E629</f>
        <v>Otonomo [DA: 02/01/21]</v>
      </c>
      <c r="F628" s="97" t="str">
        <f>'Active and Pre-IPO SPACs'!F629</f>
        <v>Jonathan Huberman (Software Acquisition Group)</v>
      </c>
      <c r="G628" s="98">
        <f>'Active and Pre-IPO SPACs'!P629</f>
        <v>44088</v>
      </c>
      <c r="H628" s="99">
        <f>'Active and Pre-IPO SPACs'!Q629</f>
        <v>172.5</v>
      </c>
      <c r="I628" s="100" t="str">
        <f>'Active and Pre-IPO SPACs'!M629</f>
        <v>U: [1/2 W]; W: [1:1, $11.5]</v>
      </c>
    </row>
    <row r="629">
      <c r="A629" s="103" t="str">
        <f>'Active and Pre-IPO SPACs'!A630</f>
        <v>SAMA</v>
      </c>
      <c r="B629" s="95" t="str">
        <f>'Active and Pre-IPO SPACs'!B630</f>
        <v>Schultze Special Purpose Acquisition Corp. II</v>
      </c>
      <c r="C629" s="95" t="str">
        <f>'Active and Pre-IPO SPACs'!C630</f>
        <v>Pre IPO</v>
      </c>
      <c r="D629" s="101" t="str">
        <f>'Active and Pre-IPO SPACs'!D630</f>
        <v>Liquidity constraints, financially stressed, emerging from financial restructuring</v>
      </c>
      <c r="E629" s="96" t="str">
        <f>'Active and Pre-IPO SPACs'!E630</f>
        <v/>
      </c>
      <c r="F629" s="97" t="str">
        <f>'Active and Pre-IPO SPACs'!F630</f>
        <v/>
      </c>
      <c r="G629" s="98" t="str">
        <f>'Active and Pre-IPO SPACs'!P630</f>
        <v/>
      </c>
      <c r="H629" s="99">
        <f>'Active and Pre-IPO SPACs'!Q630</f>
        <v>200</v>
      </c>
      <c r="I629" s="100" t="str">
        <f>'Active and Pre-IPO SPACs'!M630</f>
        <v>U: [1/3 W]; W: [1:1, $11.5]</v>
      </c>
    </row>
    <row r="630">
      <c r="A630" s="103" t="str">
        <f>'Active and Pre-IPO SPACs'!A631</f>
        <v>SBEA</v>
      </c>
      <c r="B630" s="95" t="str">
        <f>'Active and Pre-IPO SPACs'!B631</f>
        <v>SilverBox Engaged Merger Corp I</v>
      </c>
      <c r="C630" s="95" t="str">
        <f>'Active and Pre-IPO SPACs'!C631</f>
        <v>Searching (Pre Unit Split)</v>
      </c>
      <c r="D630" s="91" t="str">
        <f>'Active and Pre-IPO SPACs'!D631</f>
        <v/>
      </c>
      <c r="E630" s="96" t="str">
        <f>'Active and Pre-IPO SPACs'!E631</f>
        <v/>
      </c>
      <c r="F630" s="97" t="str">
        <f>'Active and Pre-IPO SPACs'!F631</f>
        <v>Stephen Kadenacy (Former COO, AECOM)</v>
      </c>
      <c r="G630" s="98">
        <f>'Active and Pre-IPO SPACs'!P631</f>
        <v>44252</v>
      </c>
      <c r="H630" s="99">
        <f>'Active and Pre-IPO SPACs'!Q631</f>
        <v>345</v>
      </c>
      <c r="I630" s="100" t="str">
        <f>'Active and Pre-IPO SPACs'!M631</f>
        <v>U: [1/3 W]; W: [1:1, $11.5]</v>
      </c>
    </row>
    <row r="631">
      <c r="A631" s="78" t="str">
        <f>'Active and Pre-IPO SPACs'!A632</f>
        <v>SBG</v>
      </c>
      <c r="B631" s="95" t="str">
        <f>'Active and Pre-IPO SPACs'!B632</f>
        <v>Sandbridge Acquisition Corporation</v>
      </c>
      <c r="C631" s="95" t="str">
        <f>'Active and Pre-IPO SPACs'!C632</f>
        <v>Definitive Agreement</v>
      </c>
      <c r="D631" s="91" t="str">
        <f>'Active and Pre-IPO SPACs'!D632</f>
        <v>Consumer</v>
      </c>
      <c r="E631" s="96" t="str">
        <f>'Active and Pre-IPO SPACs'!E632</f>
        <v>Owlet [DA: 02/16/21]</v>
      </c>
      <c r="F631" s="97" t="str">
        <f>'Active and Pre-IPO SPACs'!F632</f>
        <v>Tommy Hilfiger, Domenico De Sole (Co-Founder of Tom Ford and Former CEO of Gucci), Ken Suslow (Founder, Sandbridge Capital)</v>
      </c>
      <c r="G631" s="98">
        <f>'Active and Pre-IPO SPACs'!P632</f>
        <v>44089</v>
      </c>
      <c r="H631" s="99">
        <f>'Active and Pre-IPO SPACs'!Q632</f>
        <v>230</v>
      </c>
      <c r="I631" s="100" t="str">
        <f>'Active and Pre-IPO SPACs'!M632</f>
        <v>U: [1/2 W]; W: [1:1, $11.5]</v>
      </c>
    </row>
    <row r="632">
      <c r="A632" s="103" t="str">
        <f>'Active and Pre-IPO SPACs'!A633</f>
        <v>SBII</v>
      </c>
      <c r="B632" s="95" t="str">
        <f>'Active and Pre-IPO SPACs'!B633</f>
        <v>Sandbridge X2 Corp</v>
      </c>
      <c r="C632" s="95" t="str">
        <f>'Active and Pre-IPO SPACs'!C633</f>
        <v>Searching (Pre Unit Split)</v>
      </c>
      <c r="D632" s="91" t="str">
        <f>'Active and Pre-IPO SPACs'!D633</f>
        <v>Consumer Tech, Beauty &amp; Personal Care, Luxury, Health and Wellness</v>
      </c>
      <c r="E632" s="96" t="str">
        <f>'Active and Pre-IPO SPACs'!E633</f>
        <v/>
      </c>
      <c r="F632" s="97" t="str">
        <f>'Active and Pre-IPO SPACs'!F633</f>
        <v>Domenico De Sole (Co-Founder of Tom Ford and Former CEO of Gucci), Ken Suslow (Founder, Sandbridge Capital)</v>
      </c>
      <c r="G632" s="98">
        <f>'Active and Pre-IPO SPACs'!P633</f>
        <v>44264</v>
      </c>
      <c r="H632" s="99">
        <f>'Active and Pre-IPO SPACs'!Q633</f>
        <v>238.177</v>
      </c>
      <c r="I632" s="100" t="str">
        <f>'Active and Pre-IPO SPACs'!M633</f>
        <v>U: [1/3 W]; W: [1:1, $11.5]</v>
      </c>
    </row>
    <row r="633">
      <c r="A633" s="103" t="str">
        <f>'Active and Pre-IPO SPACs'!A634</f>
        <v>SCAQ</v>
      </c>
      <c r="B633" s="95" t="str">
        <f>'Active and Pre-IPO SPACs'!B634</f>
        <v>Stratim Cloud Acquisition Corp.</v>
      </c>
      <c r="C633" s="95" t="str">
        <f>'Active and Pre-IPO SPACs'!C634</f>
        <v>Searching (Pre Unit Split)</v>
      </c>
      <c r="D633" s="101" t="str">
        <f>'Active and Pre-IPO SPACs'!D634</f>
        <v>Software (cloud infrastructure, consumer and enterprise SaaS, security)</v>
      </c>
      <c r="E633" s="96" t="str">
        <f>'Active and Pre-IPO SPACs'!E634</f>
        <v/>
      </c>
      <c r="F633" s="97" t="str">
        <f>'Active and Pre-IPO SPACs'!F634</f>
        <v>Sreekanth Ravi (Founder/Exec Chairman, RSquared AI; Co-Founder/Fmr CEO, Tely), Scott Wagner (Fmr CEO, GoDaddy), Doug Bergeron (Co-MP, Hudson Executive Capital)</v>
      </c>
      <c r="G633" s="98">
        <f>'Active and Pre-IPO SPACs'!P634</f>
        <v>44266</v>
      </c>
      <c r="H633" s="99">
        <f>'Active and Pre-IPO SPACs'!Q634</f>
        <v>250</v>
      </c>
      <c r="I633" s="100" t="str">
        <f>'Active and Pre-IPO SPACs'!M634</f>
        <v>U: [1/3 W]; W: [1:1, $11.5]</v>
      </c>
    </row>
    <row r="634">
      <c r="A634" s="103" t="str">
        <f>'Active and Pre-IPO SPACs'!A635</f>
        <v>SCIB</v>
      </c>
      <c r="B634" s="95" t="str">
        <f>'Active and Pre-IPO SPACs'!B635</f>
        <v>Science Strategic Acquisition Corp. Bravo</v>
      </c>
      <c r="C634" s="95" t="str">
        <f>'Active and Pre-IPO SPACs'!C635</f>
        <v>Pre IPO</v>
      </c>
      <c r="D634" s="101" t="str">
        <f>'Active and Pre-IPO SPACs'!D635</f>
        <v>D2C Brands and Services, Mobile &amp; Social Entertainment</v>
      </c>
      <c r="E634" s="96" t="str">
        <f>'Active and Pre-IPO SPACs'!E635</f>
        <v/>
      </c>
      <c r="F634" s="97" t="str">
        <f>'Active and Pre-IPO SPACs'!F635</f>
        <v>Michael Jones (Former CEO of Myspace), Jeff Bonforte (CEO of Grindr)</v>
      </c>
      <c r="G634" s="98" t="str">
        <f>'Active and Pre-IPO SPACs'!P635</f>
        <v/>
      </c>
      <c r="H634" s="99">
        <f>'Active and Pre-IPO SPACs'!Q635</f>
        <v>200</v>
      </c>
      <c r="I634" s="100" t="str">
        <f>'Active and Pre-IPO SPACs'!M635</f>
        <v>U: [1/2 W]; W: [1:1, $11.5]</v>
      </c>
    </row>
    <row r="635">
      <c r="A635" s="103" t="str">
        <f>'Active and Pre-IPO SPACs'!A636</f>
        <v>SCIC</v>
      </c>
      <c r="B635" s="95" t="str">
        <f>'Active and Pre-IPO SPACs'!B636</f>
        <v>Science Strategic Acquisition Corp. Charlie</v>
      </c>
      <c r="C635" s="95" t="str">
        <f>'Active and Pre-IPO SPACs'!C636</f>
        <v>Pre IPO</v>
      </c>
      <c r="D635" s="101" t="str">
        <f>'Active and Pre-IPO SPACs'!D636</f>
        <v>D2C Brands and Services, Mobile &amp; Social Entertainment</v>
      </c>
      <c r="E635" s="96" t="str">
        <f>'Active and Pre-IPO SPACs'!E636</f>
        <v/>
      </c>
      <c r="F635" s="97" t="str">
        <f>'Active and Pre-IPO SPACs'!F636</f>
        <v>Michael Jones (Former CEO of Myspace)</v>
      </c>
      <c r="G635" s="98" t="str">
        <f>'Active and Pre-IPO SPACs'!P636</f>
        <v/>
      </c>
      <c r="H635" s="99">
        <f>'Active and Pre-IPO SPACs'!Q636</f>
        <v>125</v>
      </c>
      <c r="I635" s="100" t="str">
        <f>'Active and Pre-IPO SPACs'!M636</f>
        <v>U: [1/4 W]; W: [1:1, $11.5]</v>
      </c>
    </row>
    <row r="636">
      <c r="A636" s="78" t="str">
        <f>'Active and Pre-IPO SPACs'!A637</f>
        <v>SCLE</v>
      </c>
      <c r="B636" s="95" t="str">
        <f>'Active and Pre-IPO SPACs'!B637</f>
        <v>Broadscale Acquisition Corp.</v>
      </c>
      <c r="C636" s="95" t="str">
        <f>'Active and Pre-IPO SPACs'!C637</f>
        <v>Searching</v>
      </c>
      <c r="D636" s="91" t="str">
        <f>'Active and Pre-IPO SPACs'!D637</f>
        <v>ESG, Sustainability, Energy Transition</v>
      </c>
      <c r="E636" s="96" t="str">
        <f>'Active and Pre-IPO SPACs'!E637</f>
        <v/>
      </c>
      <c r="F636" s="97" t="str">
        <f>'Active and Pre-IPO SPACs'!F637</f>
        <v>Andrew Shapiro (Founder/MP, Broadscale; Founder, GreenOrder; Fmr Director, Blink Charging), Betsy Cohen (Founder/Fmr CEO Bancorp; Director, FinTech Acquisition I, II, III), Raymond Lane (Fmr COO, Oracle; MP, GreatPoint Ventures; Director, Beyond Meat and Hewlett Packard Enterprise)</v>
      </c>
      <c r="G636" s="98">
        <f>'Active and Pre-IPO SPACs'!P637</f>
        <v>44238</v>
      </c>
      <c r="H636" s="99">
        <f>'Active and Pre-IPO SPACs'!Q637</f>
        <v>345</v>
      </c>
      <c r="I636" s="100" t="str">
        <f>'Active and Pre-IPO SPACs'!M637</f>
        <v>U: [1/4 W]; W: [1:1, $11.5]</v>
      </c>
    </row>
    <row r="637">
      <c r="A637" s="78" t="str">
        <f>'Active and Pre-IPO SPACs'!A638</f>
        <v>SCOA</v>
      </c>
      <c r="B637" s="95" t="str">
        <f>'Active and Pre-IPO SPACs'!B638</f>
        <v>ScION Tech Growth I</v>
      </c>
      <c r="C637" s="95" t="str">
        <f>'Active and Pre-IPO SPACs'!C638</f>
        <v>Searching</v>
      </c>
      <c r="D637" s="91" t="str">
        <f>'Active and Pre-IPO SPACs'!D638</f>
        <v>Fintech</v>
      </c>
      <c r="E637" s="96" t="str">
        <f>'Active and Pre-IPO SPACs'!E638</f>
        <v/>
      </c>
      <c r="F637" s="97" t="str">
        <f>'Active and Pre-IPO SPACs'!F638</f>
        <v>Andrea Pignataro (Founder/CEO, ION Investment Group), Mathew Cestar (Fmr Managing Director, Credit Suisse)</v>
      </c>
      <c r="G637" s="98">
        <f>'Active and Pre-IPO SPACs'!P638</f>
        <v>44182</v>
      </c>
      <c r="H637" s="99">
        <f>'Active and Pre-IPO SPACs'!Q638</f>
        <v>575</v>
      </c>
      <c r="I637" s="100" t="str">
        <f>'Active and Pre-IPO SPACs'!M638</f>
        <v>U: [1/3 W]; W: [1:1, $11.5]</v>
      </c>
    </row>
    <row r="638">
      <c r="A638" s="78" t="str">
        <f>'Active and Pre-IPO SPACs'!A639</f>
        <v>SCOB</v>
      </c>
      <c r="B638" s="95" t="str">
        <f>'Active and Pre-IPO SPACs'!B639</f>
        <v>ScION Tech Growth II</v>
      </c>
      <c r="C638" s="95" t="str">
        <f>'Active and Pre-IPO SPACs'!C639</f>
        <v>Searching</v>
      </c>
      <c r="D638" s="91" t="str">
        <f>'Active and Pre-IPO SPACs'!D639</f>
        <v>Fintech</v>
      </c>
      <c r="E638" s="96" t="str">
        <f>'Active and Pre-IPO SPACs'!E639</f>
        <v/>
      </c>
      <c r="F638" s="97" t="str">
        <f>'Active and Pre-IPO SPACs'!F639</f>
        <v>Andrea Pignataro (Founder/CEO, ION Investment Group), Mathew Cestar (Fmr Managing Director, Credit Suisse)</v>
      </c>
      <c r="G638" s="98">
        <f>'Active and Pre-IPO SPACs'!P639</f>
        <v>44236</v>
      </c>
      <c r="H638" s="99">
        <f>'Active and Pre-IPO SPACs'!Q639</f>
        <v>345</v>
      </c>
      <c r="I638" s="100" t="str">
        <f>'Active and Pre-IPO SPACs'!M639</f>
        <v>U: [1/3 W]; W: [1:1, $11.5]</v>
      </c>
    </row>
    <row r="639">
      <c r="A639" s="78" t="str">
        <f>'Active and Pre-IPO SPACs'!A640</f>
        <v>SCPE</v>
      </c>
      <c r="B639" s="95" t="str">
        <f>'Active and Pre-IPO SPACs'!B640</f>
        <v>SC Health Corp</v>
      </c>
      <c r="C639" s="95" t="str">
        <f>'Active and Pre-IPO SPACs'!C640</f>
        <v>Definitive Agreement</v>
      </c>
      <c r="D639" s="91" t="str">
        <f>'Active and Pre-IPO SPACs'!D640</f>
        <v>Healthcare, Asia</v>
      </c>
      <c r="E639" s="96" t="str">
        <f>'Active and Pre-IPO SPACs'!E640</f>
        <v>Rockley Photonics [DA: 03/19/21]</v>
      </c>
      <c r="F639" s="97" t="str">
        <f>'Active and Pre-IPO SPACs'!F640</f>
        <v/>
      </c>
      <c r="G639" s="98">
        <f>'Active and Pre-IPO SPACs'!P640</f>
        <v>43657</v>
      </c>
      <c r="H639" s="99">
        <f>'Active and Pre-IPO SPACs'!Q640</f>
        <v>172.5</v>
      </c>
      <c r="I639" s="100" t="str">
        <f>'Active and Pre-IPO SPACs'!M640</f>
        <v>U: [1/2 W]; W: [1:1, $11.5]</v>
      </c>
    </row>
    <row r="640">
      <c r="A640" s="103" t="str">
        <f>'Active and Pre-IPO SPACs'!A641</f>
        <v>SCVX</v>
      </c>
      <c r="B640" s="95" t="str">
        <f>'Active and Pre-IPO SPACs'!B641</f>
        <v>SCVX Corp</v>
      </c>
      <c r="C640" s="95" t="str">
        <f>'Active and Pre-IPO SPACs'!C641</f>
        <v>Searching</v>
      </c>
      <c r="D640" s="101" t="str">
        <f>'Active and Pre-IPO SPACs'!D641</f>
        <v>Cybersecurity</v>
      </c>
      <c r="E640" s="96" t="str">
        <f>'Active and Pre-IPO SPACs'!E641</f>
        <v/>
      </c>
      <c r="F640" s="97" t="str">
        <f>'Active and Pre-IPO SPACs'!F641</f>
        <v>Former Senator Dan Coats (Former Director of National Intelligence), Jeff Lunglhofer
(Chief Information Security Officer at BNY Mellon), Sounil Yu (Former Chief Security Scientist at Bank of America)</v>
      </c>
      <c r="G640" s="98">
        <f>'Active and Pre-IPO SPACs'!P641</f>
        <v>43854</v>
      </c>
      <c r="H640" s="99">
        <f>'Active and Pre-IPO SPACs'!Q641</f>
        <v>230</v>
      </c>
      <c r="I640" s="100" t="str">
        <f>'Active and Pre-IPO SPACs'!M641</f>
        <v>U: [1/2 W]; W: [1:1, $11.5]</v>
      </c>
    </row>
    <row r="641">
      <c r="A641" s="78" t="str">
        <f>'Active and Pre-IPO SPACs'!A642</f>
        <v>SDAC</v>
      </c>
      <c r="B641" s="95" t="str">
        <f>'Active and Pre-IPO SPACs'!B642</f>
        <v>Sustainable Development Acquisition I Corp.</v>
      </c>
      <c r="C641" s="95" t="str">
        <f>'Active and Pre-IPO SPACs'!C642</f>
        <v>Searching</v>
      </c>
      <c r="D641" s="91" t="str">
        <f>'Active and Pre-IPO SPACs'!D642</f>
        <v>Sustainability, Certified B Corp, UN SDG-focused </v>
      </c>
      <c r="E641" s="96" t="str">
        <f>'Active and Pre-IPO SPACs'!E642</f>
        <v/>
      </c>
      <c r="F641" s="97" t="str">
        <f>'Active and Pre-IPO SPACs'!F642</f>
        <v/>
      </c>
      <c r="G641" s="98">
        <f>'Active and Pre-IPO SPACs'!P642</f>
        <v>44231</v>
      </c>
      <c r="H641" s="99">
        <f>'Active and Pre-IPO SPACs'!Q642</f>
        <v>316.25</v>
      </c>
      <c r="I641" s="100" t="str">
        <f>'Active and Pre-IPO SPACs'!M642</f>
        <v>U: [1/2 W]; W: [1:1, $11.5]</v>
      </c>
    </row>
    <row r="642">
      <c r="A642" s="103" t="str">
        <f>'Active and Pre-IPO SPACs'!A643</f>
        <v>SDHI</v>
      </c>
      <c r="B642" s="95" t="str">
        <f>'Active and Pre-IPO SPACs'!B643</f>
        <v>Siddhi Acquisition Corp.</v>
      </c>
      <c r="C642" s="95" t="str">
        <f>'Active and Pre-IPO SPACs'!C643</f>
        <v>Pre IPO</v>
      </c>
      <c r="D642" s="91" t="str">
        <f>'Active and Pre-IPO SPACs'!D643</f>
        <v>Food and Beverage</v>
      </c>
      <c r="E642" s="96" t="str">
        <f>'Active and Pre-IPO SPACs'!E643</f>
        <v/>
      </c>
      <c r="F642" s="97" t="str">
        <f>'Active and Pre-IPO SPACs'!F643</f>
        <v>Lauri Kotcher (Former CMO of Godiva Chocolatier), James Monsees (Co-founder of JUUL Labs), Susan Kilsby (Director of Unilever &amp; Diageo)</v>
      </c>
      <c r="G642" s="98" t="str">
        <f>'Active and Pre-IPO SPACs'!P643</f>
        <v/>
      </c>
      <c r="H642" s="99">
        <f>'Active and Pre-IPO SPACs'!Q643</f>
        <v>200</v>
      </c>
      <c r="I642" s="100" t="str">
        <f>'Active and Pre-IPO SPACs'!M643</f>
        <v>U: [1/3 W]; W: [1:1, $11.5]</v>
      </c>
    </row>
    <row r="643">
      <c r="A643" s="78" t="str">
        <f>'Active and Pre-IPO SPACs'!A644</f>
        <v>SEAH</v>
      </c>
      <c r="B643" s="95" t="str">
        <f>'Active and Pre-IPO SPACs'!B644</f>
        <v>Sports Entertainment Acquisition Corp.</v>
      </c>
      <c r="C643" s="95" t="str">
        <f>'Active and Pre-IPO SPACs'!C644</f>
        <v>Searching</v>
      </c>
      <c r="D643" s="91" t="str">
        <f>'Active and Pre-IPO SPACs'!D644</f>
        <v>Sports (incl. Tech &amp; Services), Entertainment (incl. Tech &amp; Services)</v>
      </c>
      <c r="E643" s="96" t="str">
        <f>'Active and Pre-IPO SPACs'!E644</f>
        <v/>
      </c>
      <c r="F643" s="97" t="str">
        <f>'Active and Pre-IPO SPACs'!F644</f>
        <v>Eric Grubman (Former Exec VP Business Ops, NFL), John Collins (Fmr COO, NHL; Fmr CEO, Cleveland Browns)</v>
      </c>
      <c r="G643" s="98">
        <f>'Active and Pre-IPO SPACs'!P644</f>
        <v>44106</v>
      </c>
      <c r="H643" s="99">
        <f>'Active and Pre-IPO SPACs'!Q644</f>
        <v>450</v>
      </c>
      <c r="I643" s="100" t="str">
        <f>'Active and Pre-IPO SPACs'!M644</f>
        <v>U: [1/2 W]; W: [1:1, $11.5]</v>
      </c>
    </row>
    <row r="644">
      <c r="A644" s="103" t="str">
        <f>'Active and Pre-IPO SPACs'!A645</f>
        <v>SEDA</v>
      </c>
      <c r="B644" s="95" t="str">
        <f>'Active and Pre-IPO SPACs'!B645</f>
        <v>SDCL EDGE Acquisition Corp</v>
      </c>
      <c r="C644" s="95" t="str">
        <f>'Active and Pre-IPO SPACs'!C645</f>
        <v>Pre IPO</v>
      </c>
      <c r="D644" s="91" t="str">
        <f>'Active and Pre-IPO SPACs'!D645</f>
        <v>Energy Transition, Sustainability, Transport</v>
      </c>
      <c r="E644" s="96" t="str">
        <f>'Active and Pre-IPO SPACs'!E645</f>
        <v/>
      </c>
      <c r="F644" s="97" t="str">
        <f>'Active and Pre-IPO SPACs'!F645</f>
        <v/>
      </c>
      <c r="G644" s="98" t="str">
        <f>'Active and Pre-IPO SPACs'!P645</f>
        <v/>
      </c>
      <c r="H644" s="99">
        <f>'Active and Pre-IPO SPACs'!Q645</f>
        <v>250</v>
      </c>
      <c r="I644" s="100" t="str">
        <f>'Active and Pre-IPO SPACs'!M645</f>
        <v>U: [1/3 W]; W: [1:1, $11.5]</v>
      </c>
    </row>
    <row r="645">
      <c r="A645" s="103" t="str">
        <f>'Active and Pre-IPO SPACs'!A646</f>
        <v>SEPG</v>
      </c>
      <c r="B645" s="95" t="str">
        <f>'Active and Pre-IPO SPACs'!B646</f>
        <v>SEP Growth Holdings Corp.</v>
      </c>
      <c r="C645" s="95" t="str">
        <f>'Active and Pre-IPO SPACs'!C646</f>
        <v>Pre IPO</v>
      </c>
      <c r="D645" s="101" t="str">
        <f>'Active and Pre-IPO SPACs'!D646</f>
        <v>Tech</v>
      </c>
      <c r="E645" s="96" t="str">
        <f>'Active and Pre-IPO SPACs'!E646</f>
        <v/>
      </c>
      <c r="F645" s="97" t="str">
        <f>'Active and Pre-IPO SPACs'!F646</f>
        <v/>
      </c>
      <c r="G645" s="98" t="str">
        <f>'Active and Pre-IPO SPACs'!P646</f>
        <v/>
      </c>
      <c r="H645" s="99">
        <f>'Active and Pre-IPO SPACs'!Q646</f>
        <v>250</v>
      </c>
      <c r="I645" s="100" t="str">
        <f>'Active and Pre-IPO SPACs'!M646</f>
        <v>U: [1/4 W]; W: [1:1, $11.5]</v>
      </c>
    </row>
    <row r="646">
      <c r="A646" s="78" t="str">
        <f>'Active and Pre-IPO SPACs'!A647</f>
        <v>SFTW</v>
      </c>
      <c r="B646" s="95" t="str">
        <f>'Active and Pre-IPO SPACs'!B647</f>
        <v>Osprey Technology Acquisition Corp</v>
      </c>
      <c r="C646" s="95" t="str">
        <f>'Active and Pre-IPO SPACs'!C647</f>
        <v>Definitive Agreement</v>
      </c>
      <c r="D646" s="101" t="str">
        <f>'Active and Pre-IPO SPACs'!D647</f>
        <v>Enterprise Software</v>
      </c>
      <c r="E646" s="96" t="str">
        <f>'Active and Pre-IPO SPACs'!E647</f>
        <v>BlackSky [DA: 02/18/21]</v>
      </c>
      <c r="F646" s="97" t="str">
        <f>'Active and Pre-IPO SPACs'!F647</f>
        <v/>
      </c>
      <c r="G646" s="98">
        <f>'Active and Pre-IPO SPACs'!P647</f>
        <v>43770</v>
      </c>
      <c r="H646" s="99">
        <f>'Active and Pre-IPO SPACs'!Q647</f>
        <v>316.25</v>
      </c>
      <c r="I646" s="100" t="str">
        <f>'Active and Pre-IPO SPACs'!M647</f>
        <v>U: [1/2 W]; W: [1:1, $11.5]</v>
      </c>
    </row>
    <row r="647">
      <c r="A647" s="103" t="str">
        <f>'Active and Pre-IPO SPACs'!A648</f>
        <v>SGAM</v>
      </c>
      <c r="B647" s="95" t="str">
        <f>'Active and Pre-IPO SPACs'!B648</f>
        <v>Seaport Global Acquisition Corp.</v>
      </c>
      <c r="C647" s="95" t="str">
        <f>'Active and Pre-IPO SPACs'!C648</f>
        <v>Searching</v>
      </c>
      <c r="D647" s="91" t="str">
        <f>'Active and Pre-IPO SPACs'!D648</f>
        <v/>
      </c>
      <c r="E647" s="96" t="str">
        <f>'Active and Pre-IPO SPACs'!E648</f>
        <v/>
      </c>
      <c r="F647" s="97" t="str">
        <f>'Active and Pre-IPO SPACs'!F648</f>
        <v/>
      </c>
      <c r="G647" s="98">
        <f>'Active and Pre-IPO SPACs'!P648</f>
        <v>44165</v>
      </c>
      <c r="H647" s="99">
        <f>'Active and Pre-IPO SPACs'!Q648</f>
        <v>145.1875</v>
      </c>
      <c r="I647" s="97">
        <f>'Active and Pre-IPO SPACs'!K648</f>
        <v>10.35</v>
      </c>
    </row>
    <row r="648">
      <c r="A648" s="78" t="str">
        <f>'Active and Pre-IPO SPACs'!A649</f>
        <v>SHAC</v>
      </c>
      <c r="B648" s="95" t="str">
        <f>'Active and Pre-IPO SPACs'!B649</f>
        <v>SCP &amp; CO Healthcare Acquisition Company</v>
      </c>
      <c r="C648" s="95" t="str">
        <f>'Active and Pre-IPO SPACs'!C649</f>
        <v>Searching</v>
      </c>
      <c r="D648" s="91" t="str">
        <f>'Active and Pre-IPO SPACs'!D649</f>
        <v>Healthcare</v>
      </c>
      <c r="E648" s="96" t="str">
        <f>'Active and Pre-IPO SPACs'!E649</f>
        <v/>
      </c>
      <c r="F648" s="97" t="str">
        <f>'Active and Pre-IPO SPACs'!F649</f>
        <v>Alan Gold (Exec Chairman, Innovative Industrial Properties), Tim Main (Chairman, Jabil; Director, Quest Diagnostics)</v>
      </c>
      <c r="G648" s="98">
        <f>'Active and Pre-IPO SPACs'!P649</f>
        <v>44217</v>
      </c>
      <c r="H648" s="99">
        <f>'Active and Pre-IPO SPACs'!Q649</f>
        <v>230</v>
      </c>
      <c r="I648" s="97">
        <f>'Active and Pre-IPO SPACs'!K649</f>
        <v>10.03</v>
      </c>
    </row>
    <row r="649">
      <c r="A649" s="103" t="str">
        <f>'Active and Pre-IPO SPACs'!A650</f>
        <v>SHCA</v>
      </c>
      <c r="B649" s="95" t="str">
        <f>'Active and Pre-IPO SPACs'!B650</f>
        <v>Spindletop Health Acquisition Corp.</v>
      </c>
      <c r="C649" s="95" t="str">
        <f>'Active and Pre-IPO SPACs'!C650</f>
        <v>Pre IPO</v>
      </c>
      <c r="D649" s="101" t="str">
        <f>'Active and Pre-IPO SPACs'!D650</f>
        <v>Healthcare</v>
      </c>
      <c r="E649" s="96" t="str">
        <f>'Active and Pre-IPO SPACs'!E650</f>
        <v/>
      </c>
      <c r="F649" s="97" t="str">
        <f>'Active and Pre-IPO SPACs'!F650</f>
        <v/>
      </c>
      <c r="G649" s="98" t="str">
        <f>'Active and Pre-IPO SPACs'!P650</f>
        <v/>
      </c>
      <c r="H649" s="99">
        <f>'Active and Pre-IPO SPACs'!Q650</f>
        <v>200</v>
      </c>
      <c r="I649" s="97" t="str">
        <f>'Active and Pre-IPO SPACs'!K650</f>
        <v> </v>
      </c>
    </row>
    <row r="650">
      <c r="A650" s="103" t="str">
        <f>'Active and Pre-IPO SPACs'!A651</f>
        <v>SHQA</v>
      </c>
      <c r="B650" s="95" t="str">
        <f>'Active and Pre-IPO SPACs'!B651</f>
        <v>Shelter Acquisition Corp I</v>
      </c>
      <c r="C650" s="95" t="str">
        <f>'Active and Pre-IPO SPACs'!C651</f>
        <v>Pre IPO</v>
      </c>
      <c r="D650" s="101" t="str">
        <f>'Active and Pre-IPO SPACs'!D651</f>
        <v>PropTech</v>
      </c>
      <c r="E650" s="96" t="str">
        <f>'Active and Pre-IPO SPACs'!E651</f>
        <v/>
      </c>
      <c r="F650" s="97" t="str">
        <f>'Active and Pre-IPO SPACs'!F651</f>
        <v>Anthony Foxx (Fmr US Secretary of Transportation, Chief Policy Officer, Lyft)</v>
      </c>
      <c r="G650" s="98" t="str">
        <f>'Active and Pre-IPO SPACs'!P651</f>
        <v/>
      </c>
      <c r="H650" s="99">
        <f>'Active and Pre-IPO SPACs'!Q651</f>
        <v>200</v>
      </c>
      <c r="I650" s="97" t="str">
        <f>'Active and Pre-IPO SPACs'!K651</f>
        <v> </v>
      </c>
    </row>
    <row r="651">
      <c r="A651" s="103" t="str">
        <f>'Active and Pre-IPO SPACs'!A652</f>
        <v>SIER</v>
      </c>
      <c r="B651" s="95" t="str">
        <f>'Active and Pre-IPO SPACs'!B652</f>
        <v>Sierra Lake Acquisition Corp.</v>
      </c>
      <c r="C651" s="95" t="str">
        <f>'Active and Pre-IPO SPACs'!C652</f>
        <v>Pre IPO</v>
      </c>
      <c r="D651" s="91" t="str">
        <f>'Active and Pre-IPO SPACs'!D652</f>
        <v/>
      </c>
      <c r="E651" s="96" t="str">
        <f>'Active and Pre-IPO SPACs'!E652</f>
        <v/>
      </c>
      <c r="F651" s="97" t="str">
        <f>'Active and Pre-IPO SPACs'!F652</f>
        <v/>
      </c>
      <c r="G651" s="98" t="str">
        <f>'Active and Pre-IPO SPACs'!P652</f>
        <v/>
      </c>
      <c r="H651" s="99">
        <f>'Active and Pre-IPO SPACs'!Q652</f>
        <v>300</v>
      </c>
      <c r="I651" s="97" t="str">
        <f>'Active and Pre-IPO SPACs'!K652</f>
        <v> </v>
      </c>
    </row>
    <row r="652">
      <c r="A652" s="103" t="str">
        <f>'Active and Pre-IPO SPACs'!A653</f>
        <v>SKYA</v>
      </c>
      <c r="B652" s="95" t="str">
        <f>'Active and Pre-IPO SPACs'!B653</f>
        <v>Skydeck Acquisition Corp.</v>
      </c>
      <c r="C652" s="95" t="str">
        <f>'Active and Pre-IPO SPACs'!C653</f>
        <v>Pre IPO</v>
      </c>
      <c r="D652" s="101" t="str">
        <f>'Active and Pre-IPO SPACs'!D653</f>
        <v>Media, Tech, Communications, Digital Health</v>
      </c>
      <c r="E652" s="96" t="str">
        <f>'Active and Pre-IPO SPACs'!E653</f>
        <v/>
      </c>
      <c r="F652" s="97" t="str">
        <f>'Active and Pre-IPO SPACs'!F653</f>
        <v>Paul Salem (Senior Managing Director Emeritus of Providence Equity, Chairman of MGM Resorts International), Freddy” Flaxman (Former COO of the Weather Group), Janet L. Rollé (General Manager at Parkwood Entertainment, Director of BuzzFeed, Former CMO of CNN Worldwide), William Teuber, Jr. (Former Vice Chairman &amp; CFO of EMC Corporation)</v>
      </c>
      <c r="G652" s="98" t="str">
        <f>'Active and Pre-IPO SPACs'!P653</f>
        <v/>
      </c>
      <c r="H652" s="99">
        <f>'Active and Pre-IPO SPACs'!Q653</f>
        <v>250</v>
      </c>
      <c r="I652" s="97" t="str">
        <f>'Active and Pre-IPO SPACs'!K653</f>
        <v> </v>
      </c>
    </row>
    <row r="653">
      <c r="A653" s="78" t="str">
        <f>'Active and Pre-IPO SPACs'!A654</f>
        <v>SLAC</v>
      </c>
      <c r="B653" s="95" t="str">
        <f>'Active and Pre-IPO SPACs'!B654</f>
        <v>Social Leverage Acquisition Corp I</v>
      </c>
      <c r="C653" s="95" t="str">
        <f>'Active and Pre-IPO SPACs'!C654</f>
        <v>Searching</v>
      </c>
      <c r="D653" s="91" t="str">
        <f>'Active and Pre-IPO SPACs'!D654</f>
        <v>Fintech, Enterprise Software, Consumer Tech</v>
      </c>
      <c r="E653" s="96" t="str">
        <f>'Active and Pre-IPO SPACs'!E654</f>
        <v/>
      </c>
      <c r="F653" s="97" t="str">
        <f>'Active and Pre-IPO SPACs'!F654</f>
        <v>Howard Lindzon (Founder/MP,  Social Leverage; Co-founder/Fmr CEO, StockTwits), Paul Grinberg (Chairman, Axos Financial), Michael Lazerow (Fmr Chief Strategy Officer, Salesforce), Ross Mason (Founder, MuleSoft), Brian Norgard (Fmr Chief Product Officer, Tinder)</v>
      </c>
      <c r="G653" s="98">
        <f>'Active and Pre-IPO SPACs'!P654</f>
        <v>44238</v>
      </c>
      <c r="H653" s="99">
        <f>'Active and Pre-IPO SPACs'!Q654</f>
        <v>345</v>
      </c>
      <c r="I653" s="97">
        <f>'Active and Pre-IPO SPACs'!K654</f>
        <v>10.11</v>
      </c>
    </row>
    <row r="654">
      <c r="A654" s="78" t="str">
        <f>'Active and Pre-IPO SPACs'!A655</f>
        <v>SLAM</v>
      </c>
      <c r="B654" s="95" t="str">
        <f>'Active and Pre-IPO SPACs'!B655</f>
        <v>Slam Corp.</v>
      </c>
      <c r="C654" s="95" t="str">
        <f>'Active and Pre-IPO SPACs'!C655</f>
        <v>Searching (Pre Unit Split)</v>
      </c>
      <c r="D654" s="101" t="str">
        <f>'Active and Pre-IPO SPACs'!D655</f>
        <v>Sports, Media, Entertainment, Health and Wellness, Consumer Tech</v>
      </c>
      <c r="E654" s="96" t="str">
        <f>'Active and Pre-IPO SPACs'!E655</f>
        <v/>
      </c>
      <c r="F654" s="97" t="str">
        <f>'Active and Pre-IPO SPACs'!F655</f>
        <v>Alex Rodriguez, (MLB All-Star), Jagdeep Singh (Co-founder/CEO, QuantumScape), Reggie Hudlin (Film Producer: Django Unchained &amp; Marshall; Former President, BET)</v>
      </c>
      <c r="G654" s="98">
        <f>'Active and Pre-IPO SPACs'!P655</f>
        <v>44249</v>
      </c>
      <c r="H654" s="99">
        <f>'Active and Pre-IPO SPACs'!Q655</f>
        <v>575</v>
      </c>
      <c r="I654" s="97">
        <f>'Active and Pre-IPO SPACs'!K655</f>
        <v>10</v>
      </c>
    </row>
    <row r="655">
      <c r="A655" s="78" t="str">
        <f>'Active and Pre-IPO SPACs'!A656</f>
        <v>SLCR</v>
      </c>
      <c r="B655" s="95" t="str">
        <f>'Active and Pre-IPO SPACs'!B656</f>
        <v>Silver Crest Acquisition Corporation</v>
      </c>
      <c r="C655" s="95" t="str">
        <f>'Active and Pre-IPO SPACs'!C656</f>
        <v>Searching</v>
      </c>
      <c r="D655" s="91" t="str">
        <f>'Active and Pre-IPO SPACs'!D656</f>
        <v>Consumer, Consumer Tech</v>
      </c>
      <c r="E655" s="96" t="str">
        <f>'Active and Pre-IPO SPACs'!E656</f>
        <v/>
      </c>
      <c r="F655" s="97" t="str">
        <f>'Active and Pre-IPO SPACs'!F656</f>
        <v>Leon Meng (Founding MP, Ascendant Capital; Fmr Managing Director, D.E. Shaw), Andy Bryant (Fmr Chairman, Intel; Director, Columbia Sportswear), Steeve Hagege (Fmr CEO, BOLD)</v>
      </c>
      <c r="G655" s="98">
        <f>'Active and Pre-IPO SPACs'!P656</f>
        <v>44210</v>
      </c>
      <c r="H655" s="99">
        <f>'Active and Pre-IPO SPACs'!Q656</f>
        <v>345</v>
      </c>
      <c r="I655" s="97">
        <f>'Active and Pre-IPO SPACs'!K656</f>
        <v>10</v>
      </c>
    </row>
    <row r="656">
      <c r="A656" s="103" t="str">
        <f>'Active and Pre-IPO SPACs'!A657</f>
        <v>SLVR</v>
      </c>
      <c r="B656" s="95" t="str">
        <f>'Active and Pre-IPO SPACs'!B657</f>
        <v>SilverSPAC Inc.</v>
      </c>
      <c r="C656" s="95" t="str">
        <f>'Active and Pre-IPO SPACs'!C657</f>
        <v>Pre IPO</v>
      </c>
      <c r="D656" s="101" t="str">
        <f>'Active and Pre-IPO SPACs'!D657</f>
        <v>Fintech, PropTech</v>
      </c>
      <c r="E656" s="96" t="str">
        <f>'Active and Pre-IPO SPACs'!E657</f>
        <v/>
      </c>
      <c r="F656" s="97" t="str">
        <f>'Active and Pre-IPO SPACs'!F657</f>
        <v/>
      </c>
      <c r="G656" s="98" t="str">
        <f>'Active and Pre-IPO SPACs'!P657</f>
        <v/>
      </c>
      <c r="H656" s="99">
        <f>'Active and Pre-IPO SPACs'!Q657</f>
        <v>250</v>
      </c>
      <c r="I656" s="97" t="str">
        <f>'Active and Pre-IPO SPACs'!K657</f>
        <v> </v>
      </c>
    </row>
    <row r="657">
      <c r="A657" s="103" t="str">
        <f>'Active and Pre-IPO SPACs'!A658</f>
        <v>SNII</v>
      </c>
      <c r="B657" s="95" t="str">
        <f>'Active and Pre-IPO SPACs'!B658</f>
        <v>Supernova Partners Acquisition Co II, Ltd.</v>
      </c>
      <c r="C657" s="95" t="str">
        <f>'Active and Pre-IPO SPACs'!C658</f>
        <v>Searching (Pre Unit Split)</v>
      </c>
      <c r="D657" s="91" t="str">
        <f>'Active and Pre-IPO SPACs'!D658</f>
        <v>Tech (Enterprise)</v>
      </c>
      <c r="E657" s="96" t="str">
        <f>'Active and Pre-IPO SPACs'!E658</f>
        <v/>
      </c>
      <c r="F657" s="97" t="str">
        <f>'Active and Pre-IPO SPACs'!F658</f>
        <v>Spencer Rascoff (Co-founder/ Fmr CEO, Zillow, Co-founder, Hotwire; Director, Palantir), Alexander Klabin (Co-founder, Senator Investment Group; Exec Chairman, Sotheby’s Financial Services)</v>
      </c>
      <c r="G657" s="98">
        <f>'Active and Pre-IPO SPACs'!P658</f>
        <v>44256</v>
      </c>
      <c r="H657" s="99">
        <f>'Active and Pre-IPO SPACs'!Q658</f>
        <v>345</v>
      </c>
      <c r="I657" s="97">
        <f>'Active and Pre-IPO SPACs'!K658</f>
        <v>10.15</v>
      </c>
    </row>
    <row r="658">
      <c r="A658" s="78" t="str">
        <f>'Active and Pre-IPO SPACs'!A659</f>
        <v>SNPR</v>
      </c>
      <c r="B658" s="95" t="str">
        <f>'Active and Pre-IPO SPACs'!B659</f>
        <v>Tortoise Acquisition Corp. II</v>
      </c>
      <c r="C658" s="95" t="str">
        <f>'Active and Pre-IPO SPACs'!C659</f>
        <v>Definitive Agreement</v>
      </c>
      <c r="D658" s="91" t="str">
        <f>'Active and Pre-IPO SPACs'!D659</f>
        <v>Energy transition, Sustainability (Decarbonization/ Emission Reduction)</v>
      </c>
      <c r="E658" s="96" t="str">
        <f>'Active and Pre-IPO SPACs'!E659</f>
        <v>Volta Industries [DA: 02/08/21]</v>
      </c>
      <c r="F658" s="97" t="str">
        <f>'Active and Pre-IPO SPACs'!F659</f>
        <v>Vincent T. Cubbage (Tortoise Capital Advisors)</v>
      </c>
      <c r="G658" s="98">
        <f>'Active and Pre-IPO SPACs'!P659</f>
        <v>44085</v>
      </c>
      <c r="H658" s="99">
        <f>'Active and Pre-IPO SPACs'!Q659</f>
        <v>345</v>
      </c>
      <c r="I658" s="97">
        <f>'Active and Pre-IPO SPACs'!K659</f>
        <v>11.1</v>
      </c>
    </row>
    <row r="659">
      <c r="A659" s="78" t="str">
        <f>'Active and Pre-IPO SPACs'!A660</f>
        <v>SNRH</v>
      </c>
      <c r="B659" s="95" t="str">
        <f>'Active and Pre-IPO SPACs'!B660</f>
        <v>Senior Connect Acquisition Corp. I</v>
      </c>
      <c r="C659" s="95" t="str">
        <f>'Active and Pre-IPO SPACs'!C660</f>
        <v>Searching</v>
      </c>
      <c r="D659" s="91" t="str">
        <f>'Active and Pre-IPO SPACs'!D660</f>
        <v>Senior Healthcare</v>
      </c>
      <c r="E659" s="96" t="str">
        <f>'Active and Pre-IPO SPACs'!E660</f>
        <v/>
      </c>
      <c r="F659" s="97" t="str">
        <f>'Active and Pre-IPO SPACs'!F660</f>
        <v>Richard Burke (Founder/Fmr CEO, UnitedHealth), Jeffrey Leerink (CEO, SVB Leerink), Isaac “Yitz” Applbaum (Co-founder/Partner, MizMaa; Fmr Partner, Lightspeed Venture Partners)</v>
      </c>
      <c r="G659" s="98">
        <f>'Active and Pre-IPO SPACs'!P660</f>
        <v>44175</v>
      </c>
      <c r="H659" s="99">
        <f>'Active and Pre-IPO SPACs'!Q660</f>
        <v>414</v>
      </c>
      <c r="I659" s="97">
        <f>'Active and Pre-IPO SPACs'!K660</f>
        <v>10.3</v>
      </c>
    </row>
    <row r="660">
      <c r="A660" s="78" t="str">
        <f>'Active and Pre-IPO SPACs'!A661</f>
        <v>SOAC</v>
      </c>
      <c r="B660" s="95" t="str">
        <f>'Active and Pre-IPO SPACs'!B661</f>
        <v>Sustainable Opportunities Acquisition Corp</v>
      </c>
      <c r="C660" s="95" t="str">
        <f>'Active and Pre-IPO SPACs'!C661</f>
        <v>Definitive Agreement</v>
      </c>
      <c r="D660" s="91" t="str">
        <f>'Active and Pre-IPO SPACs'!D661</f>
        <v>Sustainability</v>
      </c>
      <c r="E660" s="96" t="str">
        <f>'Active and Pre-IPO SPACs'!E661</f>
        <v>DeepGreen Metals [DA: 03/04/21]</v>
      </c>
      <c r="F660" s="97" t="str">
        <f>'Active and Pre-IPO SPACs'!F661</f>
        <v/>
      </c>
      <c r="G660" s="98">
        <f>'Active and Pre-IPO SPACs'!P661</f>
        <v>43957</v>
      </c>
      <c r="H660" s="99">
        <f>'Active and Pre-IPO SPACs'!Q661</f>
        <v>300</v>
      </c>
      <c r="I660" s="97">
        <f>'Active and Pre-IPO SPACs'!K661</f>
        <v>10.6</v>
      </c>
    </row>
    <row r="661">
      <c r="A661" s="78" t="str">
        <f>'Active and Pre-IPO SPACs'!A662</f>
        <v>SPAQ</v>
      </c>
      <c r="B661" s="95" t="str">
        <f>'Active and Pre-IPO SPACs'!B662</f>
        <v>Spartan Acquisition Corp. III</v>
      </c>
      <c r="C661" s="95" t="str">
        <f>'Active and Pre-IPO SPACs'!C662</f>
        <v>Searching</v>
      </c>
      <c r="D661" s="91" t="str">
        <f>'Active and Pre-IPO SPACs'!D662</f>
        <v>Energy Transition, Sustainability</v>
      </c>
      <c r="E661" s="96" t="str">
        <f>'Active and Pre-IPO SPACs'!E662</f>
        <v/>
      </c>
      <c r="F661" s="97" t="str">
        <f>'Active and Pre-IPO SPACs'!F662</f>
        <v>Apollo</v>
      </c>
      <c r="G661" s="98">
        <f>'Active and Pre-IPO SPACs'!P662</f>
        <v>44235</v>
      </c>
      <c r="H661" s="99">
        <f>'Active and Pre-IPO SPACs'!Q662</f>
        <v>552</v>
      </c>
      <c r="I661" s="97">
        <f>'Active and Pre-IPO SPACs'!K662</f>
        <v>10.1475</v>
      </c>
    </row>
    <row r="662">
      <c r="A662" s="78" t="str">
        <f>'Active and Pre-IPO SPACs'!A663</f>
        <v>SPFR</v>
      </c>
      <c r="B662" s="95" t="str">
        <f>'Active and Pre-IPO SPACs'!B663</f>
        <v>Jaws Spitfire Acquisition Corporation</v>
      </c>
      <c r="C662" s="95" t="str">
        <f>'Active and Pre-IPO SPACs'!C663</f>
        <v>Definitive Agreement</v>
      </c>
      <c r="D662" s="91" t="str">
        <f>'Active and Pre-IPO SPACs'!D663</f>
        <v>Consumer Tech, Other Tech</v>
      </c>
      <c r="E662" s="96" t="str">
        <f>'Active and Pre-IPO SPACs'!E663</f>
        <v>VELO3D [DA: 03/23/21]</v>
      </c>
      <c r="F662" s="97" t="str">
        <f>'Active and Pre-IPO SPACs'!F663</f>
        <v>Barry Sternlicht (Chairman and CEO of Starwood Capital Group), Serena Williams</v>
      </c>
      <c r="G662" s="98">
        <f>'Active and Pre-IPO SPACs'!P663</f>
        <v>44168</v>
      </c>
      <c r="H662" s="99">
        <f>'Active and Pre-IPO SPACs'!Q663</f>
        <v>345</v>
      </c>
      <c r="I662" s="97">
        <f>'Active and Pre-IPO SPACs'!K663</f>
        <v>11.28</v>
      </c>
    </row>
    <row r="663">
      <c r="A663" s="103" t="str">
        <f>'Active and Pre-IPO SPACs'!A664</f>
        <v>SPGL</v>
      </c>
      <c r="B663" s="95" t="str">
        <f>'Active and Pre-IPO SPACs'!B664</f>
        <v>SPGL Acquisition Corp</v>
      </c>
      <c r="C663" s="95" t="str">
        <f>'Active and Pre-IPO SPACs'!C664</f>
        <v>Pre IPO</v>
      </c>
      <c r="D663" s="101" t="str">
        <f>'Active and Pre-IPO SPACs'!D664</f>
        <v>Semiconductor, components and electronic systems</v>
      </c>
      <c r="E663" s="96" t="str">
        <f>'Active and Pre-IPO SPACs'!E664</f>
        <v/>
      </c>
      <c r="F663" s="97" t="str">
        <f>'Active and Pre-IPO SPACs'!F664</f>
        <v/>
      </c>
      <c r="G663" s="98" t="str">
        <f>'Active and Pre-IPO SPACs'!P664</f>
        <v/>
      </c>
      <c r="H663" s="99">
        <f>'Active and Pre-IPO SPACs'!Q664</f>
        <v>250</v>
      </c>
      <c r="I663" s="97" t="str">
        <f>'Active and Pre-IPO SPACs'!K664</f>
        <v> </v>
      </c>
    </row>
    <row r="664">
      <c r="A664" s="78" t="str">
        <f>'Active and Pre-IPO SPACs'!A665</f>
        <v>SPGS</v>
      </c>
      <c r="B664" s="95" t="str">
        <f>'Active and Pre-IPO SPACs'!B665</f>
        <v>Simon Property Group Acquisition Holdings, Inc.</v>
      </c>
      <c r="C664" s="95" t="str">
        <f>'Active and Pre-IPO SPACs'!C665</f>
        <v>Searching (Pre Unit Split)</v>
      </c>
      <c r="D664" s="91" t="str">
        <f>'Active and Pre-IPO SPACs'!D665</f>
        <v/>
      </c>
      <c r="E664" s="96" t="str">
        <f>'Active and Pre-IPO SPACs'!E665</f>
        <v/>
      </c>
      <c r="F664" s="97" t="str">
        <f>'Active and Pre-IPO SPACs'!F665</f>
        <v>David Simon (Chairman/Fmr CEO, SPG; Chairman, Klepierre)</v>
      </c>
      <c r="G664" s="98">
        <f>'Active and Pre-IPO SPACs'!P665</f>
        <v>44245</v>
      </c>
      <c r="H664" s="99">
        <f>'Active and Pre-IPO SPACs'!Q665</f>
        <v>345</v>
      </c>
      <c r="I664" s="97">
        <f>'Active and Pre-IPO SPACs'!K665</f>
        <v>10.3</v>
      </c>
    </row>
    <row r="665">
      <c r="A665" s="103" t="str">
        <f>'Active and Pre-IPO SPACs'!A666</f>
        <v>SPKB</v>
      </c>
      <c r="B665" s="95" t="str">
        <f>'Active and Pre-IPO SPACs'!B666</f>
        <v>Silver Spike Acquisition Corp II</v>
      </c>
      <c r="C665" s="95" t="str">
        <f>'Active and Pre-IPO SPACs'!C666</f>
        <v>Searching (Pre Unit Split)</v>
      </c>
      <c r="D665" s="101" t="str">
        <f>'Active and Pre-IPO SPACs'!D666</f>
        <v>Cannabis</v>
      </c>
      <c r="E665" s="96" t="str">
        <f>'Active and Pre-IPO SPACs'!E666</f>
        <v/>
      </c>
      <c r="F665" s="97" t="str">
        <f>'Active and Pre-IPO SPACs'!F666</f>
        <v/>
      </c>
      <c r="G665" s="98">
        <f>'Active and Pre-IPO SPACs'!P666</f>
        <v>44265</v>
      </c>
      <c r="H665" s="99">
        <f>'Active and Pre-IPO SPACs'!Q666</f>
        <v>250</v>
      </c>
      <c r="I665" s="97">
        <f>'Active and Pre-IPO SPACs'!K666</f>
        <v>10.01</v>
      </c>
    </row>
    <row r="666">
      <c r="A666" s="78" t="str">
        <f>'Active and Pre-IPO SPACs'!A667</f>
        <v>SPNV</v>
      </c>
      <c r="B666" s="95" t="str">
        <f>'Active and Pre-IPO SPACs'!B667</f>
        <v>Supernova Partners Acquisition Company</v>
      </c>
      <c r="C666" s="95" t="str">
        <f>'Active and Pre-IPO SPACs'!C667</f>
        <v>Definitive Agreement</v>
      </c>
      <c r="D666" s="91" t="str">
        <f>'Active and Pre-IPO SPACs'!D667</f>
        <v>"Growth company that Benefits from Tech-enabled trends"</v>
      </c>
      <c r="E666" s="96" t="str">
        <f>'Active and Pre-IPO SPACs'!E667</f>
        <v>Offerpad [DA: 03/18/21]</v>
      </c>
      <c r="F666" s="97" t="str">
        <f>'Active and Pre-IPO SPACs'!F667</f>
        <v>Spencer Rascoff (Co-founder and Fmr CEO of Zillow, Co-founder, Hotwire; Director, Palantir), Ken Fox (Founder, Stripes), Jim Lanzone (CEO, Tinder; Fmr CEO, Ask.com), Gregg Renfrew (CEO, Beautycounter), Rajeev Singh (CEO, Accolade)</v>
      </c>
      <c r="G666" s="98">
        <f>'Active and Pre-IPO SPACs'!P667</f>
        <v>44124</v>
      </c>
      <c r="H666" s="99">
        <f>'Active and Pre-IPO SPACs'!Q667</f>
        <v>402.5</v>
      </c>
      <c r="I666" s="97">
        <f>'Active and Pre-IPO SPACs'!K667</f>
        <v>10.84</v>
      </c>
    </row>
    <row r="667">
      <c r="A667" s="78" t="str">
        <f>'Active and Pre-IPO SPACs'!A668</f>
        <v>SPRQ</v>
      </c>
      <c r="B667" s="95" t="str">
        <f>'Active and Pre-IPO SPACs'!B668</f>
        <v>Spartan Acquisition Corp. II</v>
      </c>
      <c r="C667" s="95" t="str">
        <f>'Active and Pre-IPO SPACs'!C668</f>
        <v>Definitive Agreement</v>
      </c>
      <c r="D667" s="91" t="str">
        <f>'Active and Pre-IPO SPACs'!D668</f>
        <v>Energy</v>
      </c>
      <c r="E667" s="96" t="str">
        <f>'Active and Pre-IPO SPACs'!E668</f>
        <v>Sunlight Financial [DA: 01/25/21]</v>
      </c>
      <c r="F667" s="97" t="str">
        <f>'Active and Pre-IPO SPACs'!F668</f>
        <v>Apollo</v>
      </c>
      <c r="G667" s="98">
        <f>'Active and Pre-IPO SPACs'!P668</f>
        <v>44159</v>
      </c>
      <c r="H667" s="99">
        <f>'Active and Pre-IPO SPACs'!Q668</f>
        <v>345</v>
      </c>
      <c r="I667" s="97">
        <f>'Active and Pre-IPO SPACs'!K668</f>
        <v>10.99</v>
      </c>
    </row>
    <row r="668">
      <c r="A668" s="78" t="str">
        <f>'Active and Pre-IPO SPACs'!A669</f>
        <v>SPTK</v>
      </c>
      <c r="B668" s="95" t="str">
        <f>'Active and Pre-IPO SPACs'!B669</f>
        <v>SportsTek Acquisition Corp.</v>
      </c>
      <c r="C668" s="95" t="str">
        <f>'Active and Pre-IPO SPACs'!C669</f>
        <v>Searching</v>
      </c>
      <c r="D668" s="101" t="str">
        <f>'Active and Pre-IPO SPACs'!D669</f>
        <v>Sports: franchises, media, data analytics, &amp; Tech</v>
      </c>
      <c r="E668" s="96" t="str">
        <f>'Active and Pre-IPO SPACs'!E669</f>
        <v/>
      </c>
      <c r="F668" s="97" t="str">
        <f>'Active and Pre-IPO SPACs'!F669</f>
        <v>Tavo Hellmund (Founder, FIA Formula-1 United States Grand Prix; Co-founder, Circuit of the Americas), Jeffrey Luhnow (Fmr GM, Houston Astros), Sashi Brown (Chief Planning &amp; Ops Officer, Monumental Sports &amp; Entertainment; Fmr Exec VP Football Ops, Cleveland Browns)</v>
      </c>
      <c r="G668" s="98">
        <f>'Active and Pre-IPO SPACs'!P669</f>
        <v>44244</v>
      </c>
      <c r="H668" s="99">
        <f>'Active and Pre-IPO SPACs'!Q669</f>
        <v>172.5</v>
      </c>
      <c r="I668" s="97">
        <f>'Active and Pre-IPO SPACs'!K669</f>
        <v>10.04</v>
      </c>
    </row>
    <row r="669">
      <c r="A669" s="78" t="str">
        <f>'Active and Pre-IPO SPACs'!A670</f>
        <v>SRAC</v>
      </c>
      <c r="B669" s="95" t="str">
        <f>'Active and Pre-IPO SPACs'!B670</f>
        <v>Stable Road Acquisition Corp</v>
      </c>
      <c r="C669" s="95" t="str">
        <f>'Active and Pre-IPO SPACs'!C670</f>
        <v>Definitive Agreement</v>
      </c>
      <c r="D669" s="91" t="str">
        <f>'Active and Pre-IPO SPACs'!D670</f>
        <v>Cannabis</v>
      </c>
      <c r="E669" s="96" t="str">
        <f>'Active and Pre-IPO SPACs'!E670</f>
        <v>Momentus Inc [DA: 10/07/20]</v>
      </c>
      <c r="F669" s="97" t="str">
        <f>'Active and Pre-IPO SPACs'!F670</f>
        <v/>
      </c>
      <c r="G669" s="98">
        <f>'Active and Pre-IPO SPACs'!P670</f>
        <v>43777</v>
      </c>
      <c r="H669" s="99">
        <f>'Active and Pre-IPO SPACs'!Q670</f>
        <v>172.5</v>
      </c>
      <c r="I669" s="97">
        <f>'Active and Pre-IPO SPACs'!K670</f>
        <v>13.8</v>
      </c>
    </row>
    <row r="670">
      <c r="A670" s="78" t="str">
        <f>'Active and Pre-IPO SPACs'!A671</f>
        <v>SRNG</v>
      </c>
      <c r="B670" s="95" t="str">
        <f>'Active and Pre-IPO SPACs'!B671</f>
        <v>Soaring Eagle Acquisition Corp.</v>
      </c>
      <c r="C670" s="95" t="str">
        <f>'Active and Pre-IPO SPACs'!C671</f>
        <v>Searching (Pre Unit Split)</v>
      </c>
      <c r="D670" s="91" t="str">
        <f>'Active and Pre-IPO SPACs'!D671</f>
        <v/>
      </c>
      <c r="E670" s="96" t="str">
        <f>'Active and Pre-IPO SPACs'!E671</f>
        <v>[In talks (unconfirmed) with Ginkgo Bioworks: Per Bloomberg 4/9/21]</v>
      </c>
      <c r="F670" s="97" t="str">
        <f>'Active and Pre-IPO SPACs'!F671</f>
        <v>Harry Sloan (Former CEO of MGM)</v>
      </c>
      <c r="G670" s="98">
        <f>'Active and Pre-IPO SPACs'!P671</f>
        <v>44250</v>
      </c>
      <c r="H670" s="99">
        <f>'Active and Pre-IPO SPACs'!Q671</f>
        <v>1725</v>
      </c>
      <c r="I670" s="97">
        <f>'Active and Pre-IPO SPACs'!K671</f>
        <v>10.85</v>
      </c>
    </row>
    <row r="671">
      <c r="A671" s="78" t="str">
        <f>'Active and Pre-IPO SPACs'!A672</f>
        <v>SRSA</v>
      </c>
      <c r="B671" s="95" t="str">
        <f>'Active and Pre-IPO SPACs'!B672</f>
        <v>Sarissa Capital Acquisition Corp.</v>
      </c>
      <c r="C671" s="95" t="str">
        <f>'Active and Pre-IPO SPACs'!C672</f>
        <v>Searching</v>
      </c>
      <c r="D671" s="91" t="str">
        <f>'Active and Pre-IPO SPACs'!D672</f>
        <v>Healthcare, Biopharma</v>
      </c>
      <c r="E671" s="96" t="str">
        <f>'Active and Pre-IPO SPACs'!E672</f>
        <v/>
      </c>
      <c r="F671" s="97" t="str">
        <f>'Active and Pre-IPO SPACs'!F672</f>
        <v/>
      </c>
      <c r="G671" s="98">
        <f>'Active and Pre-IPO SPACs'!P672</f>
        <v>44124</v>
      </c>
      <c r="H671" s="99">
        <f>'Active and Pre-IPO SPACs'!Q672</f>
        <v>200</v>
      </c>
      <c r="I671" s="97">
        <f>'Active and Pre-IPO SPACs'!K672</f>
        <v>10.69</v>
      </c>
    </row>
    <row r="672">
      <c r="A672" s="103" t="str">
        <f>'Active and Pre-IPO SPACs'!A673</f>
        <v>SRTN</v>
      </c>
      <c r="B672" s="95" t="str">
        <f>'Active and Pre-IPO SPACs'!B673</f>
        <v>Spartan Acquisition Corp. IV</v>
      </c>
      <c r="C672" s="95" t="str">
        <f>'Active and Pre-IPO SPACs'!C673</f>
        <v>Pre IPO</v>
      </c>
      <c r="D672" s="101" t="str">
        <f>'Active and Pre-IPO SPACs'!D673</f>
        <v>Energy with a particular focus on energy transition and sustainability</v>
      </c>
      <c r="E672" s="96" t="str">
        <f>'Active and Pre-IPO SPACs'!E673</f>
        <v/>
      </c>
      <c r="F672" s="97" t="str">
        <f>'Active and Pre-IPO SPACs'!F673</f>
        <v>Apollo</v>
      </c>
      <c r="G672" s="98" t="str">
        <f>'Active and Pre-IPO SPACs'!P673</f>
        <v/>
      </c>
      <c r="H672" s="99">
        <f>'Active and Pre-IPO SPACs'!Q673</f>
        <v>400</v>
      </c>
      <c r="I672" s="97" t="str">
        <f>'Active and Pre-IPO SPACs'!K673</f>
        <v> </v>
      </c>
    </row>
    <row r="673">
      <c r="A673" s="78" t="str">
        <f>'Active and Pre-IPO SPACs'!A674</f>
        <v>SSAA</v>
      </c>
      <c r="B673" s="95" t="str">
        <f>'Active and Pre-IPO SPACs'!B674</f>
        <v>Science Strategic Acquisition Corp. Alpha</v>
      </c>
      <c r="C673" s="95" t="str">
        <f>'Active and Pre-IPO SPACs'!C674</f>
        <v>Searching</v>
      </c>
      <c r="D673" s="91" t="str">
        <f>'Active and Pre-IPO SPACs'!D674</f>
        <v>Direct-to-consumer brands and services, Mobile and social entertainment</v>
      </c>
      <c r="E673" s="96" t="str">
        <f>'Active and Pre-IPO SPACs'!E674</f>
        <v/>
      </c>
      <c r="F673" s="97" t="str">
        <f>'Active and Pre-IPO SPACs'!F674</f>
        <v>Michael Jones (Founder, Science Inc; Fmr CEO, MySpace), Jennifer Rubio (Co-founder/President, Away / JRSK)  </v>
      </c>
      <c r="G673" s="98">
        <f>'Active and Pre-IPO SPACs'!P674</f>
        <v>44221</v>
      </c>
      <c r="H673" s="99">
        <f>'Active and Pre-IPO SPACs'!Q674</f>
        <v>310.5</v>
      </c>
      <c r="I673" s="97">
        <f>'Active and Pre-IPO SPACs'!K674</f>
        <v>10.08</v>
      </c>
    </row>
    <row r="674">
      <c r="A674" s="78" t="str">
        <f>'Active and Pre-IPO SPACs'!A675</f>
        <v>SSPK</v>
      </c>
      <c r="B674" s="95" t="str">
        <f>'Active and Pre-IPO SPACs'!B675</f>
        <v>Silver Spike Acquisition Corp</v>
      </c>
      <c r="C674" s="95" t="str">
        <f>'Active and Pre-IPO SPACs'!C675</f>
        <v>Definitive Agreement</v>
      </c>
      <c r="D674" s="91" t="str">
        <f>'Active and Pre-IPO SPACs'!D675</f>
        <v>Cannabis</v>
      </c>
      <c r="E674" s="96" t="str">
        <f>'Active and Pre-IPO SPACs'!E675</f>
        <v>WM Holding Company (Weedmaps) [DA: 12/10/20]</v>
      </c>
      <c r="F674" s="97" t="str">
        <f>'Active and Pre-IPO SPACs'!F675</f>
        <v/>
      </c>
      <c r="G674" s="98">
        <f>'Active and Pre-IPO SPACs'!P675</f>
        <v>43684</v>
      </c>
      <c r="H674" s="99">
        <f>'Active and Pre-IPO SPACs'!Q675</f>
        <v>250</v>
      </c>
      <c r="I674" s="97">
        <f>'Active and Pre-IPO SPACs'!K675</f>
        <v>24</v>
      </c>
    </row>
    <row r="675">
      <c r="A675" s="78" t="str">
        <f>'Active and Pre-IPO SPACs'!A676</f>
        <v>STIC</v>
      </c>
      <c r="B675" s="95" t="str">
        <f>'Active and Pre-IPO SPACs'!B676</f>
        <v>Northern Star Acquisition Corp.</v>
      </c>
      <c r="C675" s="95" t="str">
        <f>'Active and Pre-IPO SPACs'!C676</f>
        <v>Definitive Agreement</v>
      </c>
      <c r="D675" s="91" t="str">
        <f>'Active and Pre-IPO SPACs'!D676</f>
        <v>Beauty, wellness, self-care, fashion, e-commerce, digital media</v>
      </c>
      <c r="E675" s="96" t="str">
        <f>'Active and Pre-IPO SPACs'!E676</f>
        <v>BarkBox [DA: 12/17/20]</v>
      </c>
      <c r="F675" s="97" t="str">
        <f>'Active and Pre-IPO SPACs'!F676</f>
        <v>Jonathan Ledecky (Co-owner New York Islanders; CEO, PIC), Joanna Coles (Fmr Editor-in-Chief, Cosmopolitan; Director, 
Snapchat and Sonos), Valerie Jarrett (Sr. Advisor, Obama Foundation; Fmr Sr. Advisor to President Obama)</v>
      </c>
      <c r="G675" s="98">
        <f>'Active and Pre-IPO SPACs'!P676</f>
        <v>44145</v>
      </c>
      <c r="H675" s="99">
        <f>'Active and Pre-IPO SPACs'!Q676</f>
        <v>254.35</v>
      </c>
      <c r="I675" s="97">
        <f>'Active and Pre-IPO SPACs'!K676</f>
        <v>12.3</v>
      </c>
    </row>
    <row r="676">
      <c r="A676" s="103" t="str">
        <f>'Active and Pre-IPO SPACs'!A677</f>
        <v>STLRA</v>
      </c>
      <c r="B676" s="95" t="str">
        <f>'Active and Pre-IPO SPACs'!B677</f>
        <v>Stellaris Growth Acquisition Corp.</v>
      </c>
      <c r="C676" s="95" t="str">
        <f>'Active and Pre-IPO SPACs'!C677</f>
        <v>Pre IPO</v>
      </c>
      <c r="D676" s="91" t="str">
        <f>'Active and Pre-IPO SPACs'!D677</f>
        <v/>
      </c>
      <c r="E676" s="96" t="str">
        <f>'Active and Pre-IPO SPACs'!E677</f>
        <v/>
      </c>
      <c r="F676" s="97" t="str">
        <f>'Active and Pre-IPO SPACs'!F677</f>
        <v>Data Centers and Internet Tech</v>
      </c>
      <c r="G676" s="98" t="str">
        <f>'Active and Pre-IPO SPACs'!P677</f>
        <v/>
      </c>
      <c r="H676" s="99">
        <f>'Active and Pre-IPO SPACs'!Q677</f>
        <v>128</v>
      </c>
      <c r="I676" s="97" t="str">
        <f>'Active and Pre-IPO SPACs'!K677</f>
        <v> </v>
      </c>
    </row>
    <row r="677">
      <c r="A677" s="78" t="str">
        <f>'Active and Pre-IPO SPACs'!A678</f>
        <v>STPC</v>
      </c>
      <c r="B677" s="95" t="str">
        <f>'Active and Pre-IPO SPACs'!B678</f>
        <v>Star Peak Corp II</v>
      </c>
      <c r="C677" s="95" t="str">
        <f>'Active and Pre-IPO SPACs'!C678</f>
        <v>Searching</v>
      </c>
      <c r="D677" s="91" t="str">
        <f>'Active and Pre-IPO SPACs'!D678</f>
        <v>Sustainability (including clean energy and power, sustainable food &amp; agriculture, transportation, resource management)</v>
      </c>
      <c r="E677" s="96" t="str">
        <f>'Active and Pre-IPO SPACs'!E678</f>
        <v/>
      </c>
      <c r="F677" s="97" t="str">
        <f>'Active and Pre-IPO SPACs'!F678</f>
        <v>Michael C. Morgan (Lead Director, Kinder Morgan), Alec Litowitz (Founder/CEO, Magnetar Capital; Fmr Principal, Citadel Investment Group)</v>
      </c>
      <c r="G677" s="98">
        <f>'Active and Pre-IPO SPACs'!P678</f>
        <v>44201</v>
      </c>
      <c r="H677" s="99">
        <f>'Active and Pre-IPO SPACs'!Q678</f>
        <v>402.5</v>
      </c>
      <c r="I677" s="97">
        <f>'Active and Pre-IPO SPACs'!K678</f>
        <v>10.94</v>
      </c>
    </row>
    <row r="678">
      <c r="A678" s="78" t="str">
        <f>'Active and Pre-IPO SPACs'!A679</f>
        <v>STPK</v>
      </c>
      <c r="B678" s="95" t="str">
        <f>'Active and Pre-IPO SPACs'!B679</f>
        <v>Star Peak Energy Transition Corp</v>
      </c>
      <c r="C678" s="95" t="str">
        <f>'Active and Pre-IPO SPACs'!C679</f>
        <v>Definitive Agreement</v>
      </c>
      <c r="D678" s="91" t="str">
        <f>'Active and Pre-IPO SPACs'!D679</f>
        <v>Renewable Energy, Energy Transition Infrastructure</v>
      </c>
      <c r="E678" s="96" t="str">
        <f>'Active and Pre-IPO SPACs'!E679</f>
        <v>Stem Inc [DA: 12/04/20]</v>
      </c>
      <c r="F678" s="97" t="str">
        <f>'Active and Pre-IPO SPACs'!F679</f>
        <v>Michael C. Morgan (Lead Director, Kinder Morgan)</v>
      </c>
      <c r="G678" s="98">
        <f>'Active and Pre-IPO SPACs'!P679</f>
        <v>44060</v>
      </c>
      <c r="H678" s="99">
        <f>'Active and Pre-IPO SPACs'!Q679</f>
        <v>384.3</v>
      </c>
      <c r="I678" s="97">
        <f>'Active and Pre-IPO SPACs'!K679</f>
        <v>37.5349</v>
      </c>
    </row>
    <row r="679">
      <c r="A679" s="103" t="str">
        <f>'Active and Pre-IPO SPACs'!A680</f>
        <v>STRE</v>
      </c>
      <c r="B679" s="95" t="str">
        <f>'Active and Pre-IPO SPACs'!B680</f>
        <v>Supernova Partners Acquisition Co III, Ltd.</v>
      </c>
      <c r="C679" s="95" t="str">
        <f>'Active and Pre-IPO SPACs'!C680</f>
        <v>Searching (Pre Unit Split)</v>
      </c>
      <c r="D679" s="91" t="str">
        <f>'Active and Pre-IPO SPACs'!D680</f>
        <v>Tech (Internet, Consumer, Media)</v>
      </c>
      <c r="E679" s="96" t="str">
        <f>'Active and Pre-IPO SPACs'!E680</f>
        <v/>
      </c>
      <c r="F679" s="97" t="str">
        <f>'Active and Pre-IPO SPACs'!F680</f>
        <v>Spencer Rascoff (Co-founder/ Fmr CEO, Zillow, Co-founder, Hotwire; Director, Palantir), Alexander Klabin (Co-founder, Senator Investment Group; Exec Chairman, Sotheby’s Financial Services)</v>
      </c>
      <c r="G679" s="98">
        <f>'Active and Pre-IPO SPACs'!P680</f>
        <v>44277</v>
      </c>
      <c r="H679" s="99">
        <f>'Active and Pre-IPO SPACs'!Q680</f>
        <v>250</v>
      </c>
      <c r="I679" s="97">
        <f>'Active and Pre-IPO SPACs'!K680</f>
        <v>10.1</v>
      </c>
    </row>
    <row r="680">
      <c r="A680" s="78" t="str">
        <f>'Active and Pre-IPO SPACs'!A681</f>
        <v>STWO</v>
      </c>
      <c r="B680" s="95" t="str">
        <f>'Active and Pre-IPO SPACs'!B681</f>
        <v>ACON S2 Acquisition Corp.</v>
      </c>
      <c r="C680" s="95" t="str">
        <f>'Active and Pre-IPO SPACs'!C681</f>
        <v>Searching</v>
      </c>
      <c r="D680" s="91" t="str">
        <f>'Active and Pre-IPO SPACs'!D681</f>
        <v>Sustainability</v>
      </c>
      <c r="E680" s="96" t="str">
        <f>'Active and Pre-IPO SPACs'!E681</f>
        <v/>
      </c>
      <c r="F680" s="97" t="str">
        <f>'Active and Pre-IPO SPACs'!F681</f>
        <v>Adam Kriger (Exec Partner, ACON Investments; Former SVP, McDonald's), Sarah Kirshbaum Levy (Former COO, Viacom)</v>
      </c>
      <c r="G680" s="98">
        <f>'Active and Pre-IPO SPACs'!P681</f>
        <v>44091</v>
      </c>
      <c r="H680" s="99">
        <f>'Active and Pre-IPO SPACs'!Q681</f>
        <v>250</v>
      </c>
      <c r="I680" s="97">
        <f>'Active and Pre-IPO SPACs'!K681</f>
        <v>10.21</v>
      </c>
    </row>
    <row r="681">
      <c r="A681" s="78" t="str">
        <f>'Active and Pre-IPO SPACs'!A682</f>
        <v>SV</v>
      </c>
      <c r="B681" s="95" t="str">
        <f>'Active and Pre-IPO SPACs'!B682</f>
        <v>Spring Valley Acquisition Corp.</v>
      </c>
      <c r="C681" s="95" t="str">
        <f>'Active and Pre-IPO SPACs'!C682</f>
        <v>Definitive Agreement</v>
      </c>
      <c r="D681" s="91" t="str">
        <f>'Active and Pre-IPO SPACs'!D682</f>
        <v>Environmental Sustainability (Clean Energy/storage, mobility, recycling +)</v>
      </c>
      <c r="E681" s="96" t="str">
        <f>'Active and Pre-IPO SPACs'!E682</f>
        <v>AeroFarms [DA: 03/26/21]</v>
      </c>
      <c r="F681" s="97" t="str">
        <f>'Active and Pre-IPO SPACs'!F682</f>
        <v>Christopher Sorells (Lead Director, Renewable Energy Group)</v>
      </c>
      <c r="G681" s="98">
        <f>'Active and Pre-IPO SPACs'!P682</f>
        <v>44158</v>
      </c>
      <c r="H681" s="99">
        <f>'Active and Pre-IPO SPACs'!Q682</f>
        <v>232.3</v>
      </c>
      <c r="I681" s="97" t="str">
        <f>'Active and Pre-IPO SPACs'!K682</f>
        <v> </v>
      </c>
    </row>
    <row r="682">
      <c r="A682" s="78" t="str">
        <f>'Active and Pre-IPO SPACs'!A683</f>
        <v>SVAC</v>
      </c>
      <c r="B682" s="95" t="str">
        <f>'Active and Pre-IPO SPACs'!B683</f>
        <v>Starboard Value Acquisition Corp.</v>
      </c>
      <c r="C682" s="95" t="str">
        <f>'Active and Pre-IPO SPACs'!C683</f>
        <v>Definitive Agreement</v>
      </c>
      <c r="D682" s="91" t="str">
        <f>'Active and Pre-IPO SPACs'!D683</f>
        <v>Tech, Healthcare, Consumer, Industrials, Hospitality, Entertainment </v>
      </c>
      <c r="E682" s="96" t="str">
        <f>'Active and Pre-IPO SPACs'!E683</f>
        <v>Cyxtera Technologies [DA: 02/22/21]</v>
      </c>
      <c r="F682" s="97" t="str">
        <f>'Active and Pre-IPO SPACs'!F683</f>
        <v>Jeffrey Smith (CEO, Starboard), Pauline Brown (Host, Tastemakers and Former Chair of LVMH North America), Michelle Felman (Founder, JAM Holdings), Robert Greene (CEO, Nat'l Assoc of Investment Companies), Nigel Travis (Former CEO, Dunkin Brands; COO of Blockbuster; CEO of Papa John's)</v>
      </c>
      <c r="G682" s="98">
        <f>'Active and Pre-IPO SPACs'!P683</f>
        <v>44084</v>
      </c>
      <c r="H682" s="99">
        <f>'Active and Pre-IPO SPACs'!Q683</f>
        <v>404.2</v>
      </c>
      <c r="I682" s="97">
        <f>'Active and Pre-IPO SPACs'!K683</f>
        <v>10.21</v>
      </c>
    </row>
    <row r="683">
      <c r="A683" s="78" t="str">
        <f>'Active and Pre-IPO SPACs'!A684</f>
        <v>SVFA</v>
      </c>
      <c r="B683" s="95" t="str">
        <f>'Active and Pre-IPO SPACs'!B684</f>
        <v>SVF Investment Corp.</v>
      </c>
      <c r="C683" s="95" t="str">
        <f>'Active and Pre-IPO SPACs'!C684</f>
        <v>Searching</v>
      </c>
      <c r="D683" s="91" t="str">
        <f>'Active and Pre-IPO SPACs'!D684</f>
        <v>Tech</v>
      </c>
      <c r="E683" s="96" t="str">
        <f>'Active and Pre-IPO SPACs'!E684</f>
        <v/>
      </c>
      <c r="F683" s="97" t="str">
        <f>'Active and Pre-IPO SPACs'!F684</f>
        <v>SoftBank, Rajeev Misra (CEO, SoftBank Investment Advisers -- manages Vision Funds)</v>
      </c>
      <c r="G683" s="98">
        <f>'Active and Pre-IPO SPACs'!P684</f>
        <v>44203</v>
      </c>
      <c r="H683" s="99">
        <f>'Active and Pre-IPO SPACs'!Q684</f>
        <v>603.75</v>
      </c>
      <c r="I683" s="97">
        <f>'Active and Pre-IPO SPACs'!K684</f>
        <v>10.87</v>
      </c>
    </row>
    <row r="684">
      <c r="A684" s="103" t="str">
        <f>'Active and Pre-IPO SPACs'!A685</f>
        <v>SVFB</v>
      </c>
      <c r="B684" s="95" t="str">
        <f>'Active and Pre-IPO SPACs'!B685</f>
        <v>SVF Investment Corp. 2</v>
      </c>
      <c r="C684" s="95" t="str">
        <f>'Active and Pre-IPO SPACs'!C685</f>
        <v>Searching</v>
      </c>
      <c r="D684" s="91" t="str">
        <f>'Active and Pre-IPO SPACs'!D685</f>
        <v>Tech</v>
      </c>
      <c r="E684" s="96" t="str">
        <f>'Active and Pre-IPO SPACs'!E685</f>
        <v/>
      </c>
      <c r="F684" s="97" t="str">
        <f>'Active and Pre-IPO SPACs'!F685</f>
        <v>SoftBank Investment Advisers (Vison Fund)</v>
      </c>
      <c r="G684" s="98">
        <f>'Active and Pre-IPO SPACs'!P685</f>
        <v>44263</v>
      </c>
      <c r="H684" s="99">
        <f>'Active and Pre-IPO SPACs'!Q685</f>
        <v>230</v>
      </c>
      <c r="I684" s="97" t="str">
        <f>'Active and Pre-IPO SPACs'!K685</f>
        <v> </v>
      </c>
    </row>
    <row r="685">
      <c r="A685" s="103" t="str">
        <f>'Active and Pre-IPO SPACs'!A686</f>
        <v>SVFC</v>
      </c>
      <c r="B685" s="95" t="str">
        <f>'Active and Pre-IPO SPACs'!B686</f>
        <v>SVF Investment Corp. 3</v>
      </c>
      <c r="C685" s="95" t="str">
        <f>'Active and Pre-IPO SPACs'!C686</f>
        <v>Searching</v>
      </c>
      <c r="D685" s="91" t="str">
        <f>'Active and Pre-IPO SPACs'!D686</f>
        <v>Tech</v>
      </c>
      <c r="E685" s="96" t="str">
        <f>'Active and Pre-IPO SPACs'!E686</f>
        <v/>
      </c>
      <c r="F685" s="97" t="str">
        <f>'Active and Pre-IPO SPACs'!F686</f>
        <v>SoftBank Investment Advisers (Vison Fund)</v>
      </c>
      <c r="G685" s="98">
        <f>'Active and Pre-IPO SPACs'!P686</f>
        <v>44263</v>
      </c>
      <c r="H685" s="99">
        <f>'Active and Pre-IPO SPACs'!Q686</f>
        <v>320</v>
      </c>
      <c r="I685" s="97" t="str">
        <f>'Active and Pre-IPO SPACs'!K686</f>
        <v> </v>
      </c>
    </row>
    <row r="686">
      <c r="A686" s="103" t="str">
        <f>'Active and Pre-IPO SPACs'!A687</f>
        <v>SVII</v>
      </c>
      <c r="B686" s="95" t="str">
        <f>'Active and Pre-IPO SPACs'!B687</f>
        <v>Spring Valley Acquisition Corp. II</v>
      </c>
      <c r="C686" s="95" t="str">
        <f>'Active and Pre-IPO SPACs'!C687</f>
        <v>Pre IPO</v>
      </c>
      <c r="D686" s="101" t="str">
        <f>'Active and Pre-IPO SPACs'!D687</f>
        <v>Sustainability</v>
      </c>
      <c r="E686" s="96" t="str">
        <f>'Active and Pre-IPO SPACs'!E687</f>
        <v/>
      </c>
      <c r="F686" s="97" t="str">
        <f>'Active and Pre-IPO SPACs'!F687</f>
        <v>Christopher Sorells (Lead Director, Renewable Energy Group)</v>
      </c>
      <c r="G686" s="98" t="str">
        <f>'Active and Pre-IPO SPACs'!P687</f>
        <v/>
      </c>
      <c r="H686" s="99">
        <f>'Active and Pre-IPO SPACs'!Q687</f>
        <v>200</v>
      </c>
      <c r="I686" s="97" t="str">
        <f>'Active and Pre-IPO SPACs'!K687</f>
        <v> </v>
      </c>
    </row>
    <row r="687">
      <c r="A687" s="78" t="str">
        <f>'Active and Pre-IPO SPACs'!A688</f>
        <v>SVOK</v>
      </c>
      <c r="B687" s="95" t="str">
        <f>'Active and Pre-IPO SPACs'!B688</f>
        <v>Seven Oaks Acquisition Corp.</v>
      </c>
      <c r="C687" s="95" t="str">
        <f>'Active and Pre-IPO SPACs'!C688</f>
        <v>Searching</v>
      </c>
      <c r="D687" s="91" t="str">
        <f>'Active and Pre-IPO SPACs'!D688</f>
        <v>Positive Social Impact with Emphasis on ESG</v>
      </c>
      <c r="E687" s="96" t="str">
        <f>'Active and Pre-IPO SPACs'!E688</f>
        <v>[In talks (unconfirmed) with Boxed: Per Bloomberg 3/11/21]</v>
      </c>
      <c r="F687" s="97" t="str">
        <f>'Active and Pre-IPO SPACs'!F688</f>
        <v/>
      </c>
      <c r="G687" s="98">
        <f>'Active and Pre-IPO SPACs'!P688</f>
        <v>44182</v>
      </c>
      <c r="H687" s="99">
        <f>'Active and Pre-IPO SPACs'!Q688</f>
        <v>258.75</v>
      </c>
      <c r="I687" s="97">
        <f>'Active and Pre-IPO SPACs'!K688</f>
        <v>10.42</v>
      </c>
    </row>
    <row r="688">
      <c r="A688" s="103" t="str">
        <f>'Active and Pre-IPO SPACs'!A689</f>
        <v>SWAG</v>
      </c>
      <c r="B688" s="95" t="str">
        <f>'Active and Pre-IPO SPACs'!B689</f>
        <v>Software Acquisition Group Inc. III</v>
      </c>
      <c r="C688" s="95" t="str">
        <f>'Active and Pre-IPO SPACs'!C689</f>
        <v>Pre IPO</v>
      </c>
      <c r="D688" s="101" t="str">
        <f>'Active and Pre-IPO SPACs'!D689</f>
        <v>Software, Tech</v>
      </c>
      <c r="E688" s="96" t="str">
        <f>'Active and Pre-IPO SPACs'!E689</f>
        <v/>
      </c>
      <c r="F688" s="97" t="str">
        <f>'Active and Pre-IPO SPACs'!F689</f>
        <v/>
      </c>
      <c r="G688" s="98" t="str">
        <f>'Active and Pre-IPO SPACs'!P689</f>
        <v/>
      </c>
      <c r="H688" s="99">
        <f>'Active and Pre-IPO SPACs'!Q689</f>
        <v>200</v>
      </c>
      <c r="I688" s="97" t="str">
        <f>'Active and Pre-IPO SPACs'!K689</f>
        <v> </v>
      </c>
    </row>
    <row r="689">
      <c r="A689" s="78" t="str">
        <f>'Active and Pre-IPO SPACs'!A690</f>
        <v>SWBK</v>
      </c>
      <c r="B689" s="95" t="str">
        <f>'Active and Pre-IPO SPACs'!B690</f>
        <v>Switchback II Corporation</v>
      </c>
      <c r="C689" s="95" t="str">
        <f>'Active and Pre-IPO SPACs'!C690</f>
        <v>Searching</v>
      </c>
      <c r="D689" s="91" t="str">
        <f>'Active and Pre-IPO SPACs'!D690</f>
        <v>Energy Transition, Sustainability</v>
      </c>
      <c r="E689" s="96" t="str">
        <f>'Active and Pre-IPO SPACs'!E690</f>
        <v/>
      </c>
      <c r="F689" s="97" t="str">
        <f>'Active and Pre-IPO SPACs'!F690</f>
        <v>Scott McNeil (CEO, Switchback I), Ray Kubis (Chairman, Gridtential)</v>
      </c>
      <c r="G689" s="98">
        <f>'Active and Pre-IPO SPACs'!P690</f>
        <v>44203</v>
      </c>
      <c r="H689" s="99">
        <f>'Active and Pre-IPO SPACs'!Q690</f>
        <v>316.25</v>
      </c>
      <c r="I689" s="97">
        <f>'Active and Pre-IPO SPACs'!K690</f>
        <v>10.51</v>
      </c>
    </row>
    <row r="690">
      <c r="A690" s="103" t="str">
        <f>'Active and Pre-IPO SPACs'!A691</f>
        <v>SWBT</v>
      </c>
      <c r="B690" s="95" t="str">
        <f>'Active and Pre-IPO SPACs'!B691</f>
        <v>Switchback III Corp</v>
      </c>
      <c r="C690" s="95" t="str">
        <f>'Active and Pre-IPO SPACs'!C691</f>
        <v>Pre IPO</v>
      </c>
      <c r="D690" s="91" t="str">
        <f>'Active and Pre-IPO SPACs'!D691</f>
        <v>Energy Transition, Sustainability</v>
      </c>
      <c r="E690" s="96" t="str">
        <f>'Active and Pre-IPO SPACs'!E691</f>
        <v/>
      </c>
      <c r="F690" s="97" t="str">
        <f>'Active and Pre-IPO SPACs'!F691</f>
        <v>Philip Deutch (Former COO of Social Capital)</v>
      </c>
      <c r="G690" s="98" t="str">
        <f>'Active and Pre-IPO SPACs'!P691</f>
        <v/>
      </c>
      <c r="H690" s="99">
        <f>'Active and Pre-IPO SPACs'!Q691</f>
        <v>275</v>
      </c>
      <c r="I690" s="97" t="str">
        <f>'Active and Pre-IPO SPACs'!K691</f>
        <v> </v>
      </c>
    </row>
    <row r="691">
      <c r="A691" s="78" t="str">
        <f>'Active and Pre-IPO SPACs'!A692</f>
        <v>SWET</v>
      </c>
      <c r="B691" s="95" t="str">
        <f>'Active and Pre-IPO SPACs'!B692</f>
        <v>Athlon Acquisition Corp.</v>
      </c>
      <c r="C691" s="95" t="str">
        <f>'Active and Pre-IPO SPACs'!C692</f>
        <v>Searching</v>
      </c>
      <c r="D691" s="91" t="str">
        <f>'Active and Pre-IPO SPACs'!D692</f>
        <v>Health, Wellness, Fitness (products, devices, applications, and technology)</v>
      </c>
      <c r="E691" s="96" t="str">
        <f>'Active and Pre-IPO SPACs'!E692</f>
        <v/>
      </c>
      <c r="F691" s="97" t="str">
        <f>'Active and Pre-IPO SPACs'!F692</f>
        <v>Mark Wan (Co-owner, Boston Celtics, SF 49ers, Leeds United, Team Liquid; Co-founder, Causeway;), Paraag Marathe (Pres, 49ers Enterprises; Exec VP Football Ops, SF 49ers), Daniel Gallagher (CFO, Crunch Holdings)</v>
      </c>
      <c r="G691" s="98">
        <f>'Active and Pre-IPO SPACs'!P692</f>
        <v>44207</v>
      </c>
      <c r="H691" s="99">
        <f>'Active and Pre-IPO SPACs'!Q692</f>
        <v>276</v>
      </c>
      <c r="I691" s="97">
        <f>'Active and Pre-IPO SPACs'!K692</f>
        <v>10.06</v>
      </c>
    </row>
    <row r="692">
      <c r="A692" s="103" t="str">
        <f>'Active and Pre-IPO SPACs'!A693</f>
        <v>SWSS</v>
      </c>
      <c r="B692" s="95" t="str">
        <f>'Active and Pre-IPO SPACs'!B693</f>
        <v>Springwater Special Situations Corp.</v>
      </c>
      <c r="C692" s="95" t="str">
        <f>'Active and Pre-IPO SPACs'!C693</f>
        <v>Pre IPO</v>
      </c>
      <c r="D692" s="91" t="str">
        <f>'Active and Pre-IPO SPACs'!D693</f>
        <v/>
      </c>
      <c r="E692" s="96" t="str">
        <f>'Active and Pre-IPO SPACs'!E693</f>
        <v/>
      </c>
      <c r="F692" s="97" t="str">
        <f>'Active and Pre-IPO SPACs'!F693</f>
        <v>Martin Gruschka (Founder/MP, Springwater)</v>
      </c>
      <c r="G692" s="98" t="str">
        <f>'Active and Pre-IPO SPACs'!P693</f>
        <v/>
      </c>
      <c r="H692" s="99">
        <f>'Active and Pre-IPO SPACs'!Q693</f>
        <v>150</v>
      </c>
      <c r="I692" s="97" t="str">
        <f>'Active and Pre-IPO SPACs'!K693</f>
        <v> </v>
      </c>
    </row>
    <row r="693">
      <c r="A693" s="103" t="str">
        <f>'Active and Pre-IPO SPACs'!A694</f>
        <v>SZZL</v>
      </c>
      <c r="B693" s="95" t="str">
        <f>'Active and Pre-IPO SPACs'!B694</f>
        <v>Sizzle Acquisition Corp.</v>
      </c>
      <c r="C693" s="95" t="str">
        <f>'Active and Pre-IPO SPACs'!C694</f>
        <v>Pre IPO</v>
      </c>
      <c r="D693" s="101" t="str">
        <f>'Active and Pre-IPO SPACs'!D694</f>
        <v>Restaurant, Hospitality, Food and beverage, Retail, Consumer, Food and Food related Tech, Real Estate, Proptech</v>
      </c>
      <c r="E693" s="96" t="str">
        <f>'Active and Pre-IPO SPACs'!E694</f>
        <v/>
      </c>
      <c r="F693" s="97" t="str">
        <f>'Active and Pre-IPO SPACs'!F694</f>
        <v>Steve Salis (Co-founder of &amp;pizza), Jamie Karson (Former Chairman &amp; CEO of Steve Madden)</v>
      </c>
      <c r="G693" s="98" t="str">
        <f>'Active and Pre-IPO SPACs'!P694</f>
        <v/>
      </c>
      <c r="H693" s="99">
        <f>'Active and Pre-IPO SPACs'!Q694</f>
        <v>125</v>
      </c>
      <c r="I693" s="97" t="str">
        <f>'Active and Pre-IPO SPACs'!K694</f>
        <v> </v>
      </c>
    </row>
    <row r="694">
      <c r="A694" s="78" t="str">
        <f>'Active and Pre-IPO SPACs'!A695</f>
        <v>TACA</v>
      </c>
      <c r="B694" s="95" t="str">
        <f>'Active and Pre-IPO SPACs'!B695</f>
        <v>Trepont Acquisition Corp I</v>
      </c>
      <c r="C694" s="95" t="str">
        <f>'Active and Pre-IPO SPACs'!C695</f>
        <v>Searching</v>
      </c>
      <c r="D694" s="91" t="str">
        <f>'Active and Pre-IPO SPACs'!D695</f>
        <v>Tech </v>
      </c>
      <c r="E694" s="96" t="str">
        <f>'Active and Pre-IPO SPACs'!E695</f>
        <v/>
      </c>
      <c r="F694" s="97" t="str">
        <f>'Active and Pre-IPO SPACs'!F695</f>
        <v>Arun Sarin (Fmr CEO, Vodafone; Director of Accenture PLC, Cisco systems, Charles Schwab), Brenton Saunders (Fmr CEO, Allergan)</v>
      </c>
      <c r="G694" s="98">
        <f>'Active and Pre-IPO SPACs'!P695</f>
        <v>44166</v>
      </c>
      <c r="H694" s="99">
        <f>'Active and Pre-IPO SPACs'!Q695</f>
        <v>232.3</v>
      </c>
      <c r="I694" s="97">
        <f>'Active and Pre-IPO SPACs'!K695</f>
        <v>10.35</v>
      </c>
    </row>
    <row r="695">
      <c r="A695" s="103" t="str">
        <f>'Active and Pre-IPO SPACs'!A696</f>
        <v>TACQ</v>
      </c>
      <c r="B695" s="95" t="str">
        <f>'Active and Pre-IPO SPACs'!B696</f>
        <v>Tetragon Acquisition Corp I</v>
      </c>
      <c r="C695" s="95" t="str">
        <f>'Active and Pre-IPO SPACs'!C696</f>
        <v>Pre IPO</v>
      </c>
      <c r="D695" s="91" t="str">
        <f>'Active and Pre-IPO SPACs'!D696</f>
        <v/>
      </c>
      <c r="E695" s="96" t="str">
        <f>'Active and Pre-IPO SPACs'!E696</f>
        <v/>
      </c>
      <c r="F695" s="97" t="str">
        <f>'Active and Pre-IPO SPACs'!F696</f>
        <v/>
      </c>
      <c r="G695" s="98" t="str">
        <f>'Active and Pre-IPO SPACs'!P696</f>
        <v/>
      </c>
      <c r="H695" s="99">
        <f>'Active and Pre-IPO SPACs'!Q696</f>
        <v>300</v>
      </c>
      <c r="I695" s="97" t="str">
        <f>'Active and Pre-IPO SPACs'!K696</f>
        <v> </v>
      </c>
    </row>
    <row r="696">
      <c r="A696" s="78" t="str">
        <f>'Active and Pre-IPO SPACs'!A697</f>
        <v>TBA</v>
      </c>
      <c r="B696" s="95" t="str">
        <f>'Active and Pre-IPO SPACs'!B697</f>
        <v>Thoma Bravo Advantage</v>
      </c>
      <c r="C696" s="95" t="str">
        <f>'Active and Pre-IPO SPACs'!C697</f>
        <v>Definitive Agreement</v>
      </c>
      <c r="D696" s="91" t="str">
        <f>'Active and Pre-IPO SPACs'!D697</f>
        <v>Software, Tech</v>
      </c>
      <c r="E696" s="96" t="str">
        <f>'Active and Pre-IPO SPACs'!E697</f>
        <v>IronSource [DA: 03/21/21]</v>
      </c>
      <c r="F696" s="97" t="str">
        <f>'Active and Pre-IPO SPACs'!F697</f>
        <v>Orlando Bravo (Founder, Thoma Bravo), Les Brun (CEO, Sarr Group)</v>
      </c>
      <c r="G696" s="98">
        <f>'Active and Pre-IPO SPACs'!P697</f>
        <v>44210</v>
      </c>
      <c r="H696" s="99">
        <f>'Active and Pre-IPO SPACs'!Q697</f>
        <v>1000</v>
      </c>
      <c r="I696" s="97" t="str">
        <f>'Active and Pre-IPO SPACs'!K697</f>
        <v> </v>
      </c>
    </row>
    <row r="697">
      <c r="A697" s="78" t="str">
        <f>'Active and Pre-IPO SPACs'!A698</f>
        <v>TBCP</v>
      </c>
      <c r="B697" s="95" t="str">
        <f>'Active and Pre-IPO SPACs'!B698</f>
        <v>Thunder Bridge Capital Partners III Inc.</v>
      </c>
      <c r="C697" s="95" t="str">
        <f>'Active and Pre-IPO SPACs'!C698</f>
        <v>Searching</v>
      </c>
      <c r="D697" s="91" t="str">
        <f>'Active and Pre-IPO SPACs'!D698</f>
        <v>Financial Services, Fintech</v>
      </c>
      <c r="E697" s="96" t="str">
        <f>'Active and Pre-IPO SPACs'!E698</f>
        <v/>
      </c>
      <c r="F697" s="97" t="str">
        <f>'Active and Pre-IPO SPACs'!F698</f>
        <v>David Mangum (Fmr CFO, Global Payments; Fmr CFO, CheckFree Corp), Peter Kight (Founder, CheckFree (acquired by FiServ), Director, Bill.com)</v>
      </c>
      <c r="G697" s="98">
        <f>'Active and Pre-IPO SPACs'!P698</f>
        <v>44231</v>
      </c>
      <c r="H697" s="99">
        <f>'Active and Pre-IPO SPACs'!Q698</f>
        <v>414</v>
      </c>
      <c r="I697" s="97">
        <f>'Active and Pre-IPO SPACs'!K698</f>
        <v>10.09</v>
      </c>
    </row>
    <row r="698">
      <c r="A698" s="103" t="str">
        <f>'Active and Pre-IPO SPACs'!A699</f>
        <v>TBSA</v>
      </c>
      <c r="B698" s="95" t="str">
        <f>'Active and Pre-IPO SPACs'!B699</f>
        <v>TB SA Acquisition Corp</v>
      </c>
      <c r="C698" s="95" t="str">
        <f>'Active and Pre-IPO SPACs'!C699</f>
        <v>Searching (Pre Unit Split)</v>
      </c>
      <c r="D698" s="101" t="str">
        <f>'Active and Pre-IPO SPACs'!D699</f>
        <v>ESG-focused in Africa</v>
      </c>
      <c r="E698" s="96" t="str">
        <f>'Active and Pre-IPO SPACs'!E699</f>
        <v/>
      </c>
      <c r="F698" s="97" t="str">
        <f>'Active and Pre-IPO SPACs'!F699</f>
        <v>Gareth Penny (Chair, Norilsk Nickel; Chair, Ninety One Plc)</v>
      </c>
      <c r="G698" s="98">
        <f>'Active and Pre-IPO SPACs'!P699</f>
        <v>44278</v>
      </c>
      <c r="H698" s="99">
        <f>'Active and Pre-IPO SPACs'!Q699</f>
        <v>200</v>
      </c>
      <c r="I698" s="97">
        <f>'Active and Pre-IPO SPACs'!K699</f>
        <v>9.9</v>
      </c>
    </row>
    <row r="699">
      <c r="A699" s="78" t="str">
        <f>'Active and Pre-IPO SPACs'!A700</f>
        <v>TCAC</v>
      </c>
      <c r="B699" s="95" t="str">
        <f>'Active and Pre-IPO SPACs'!B700</f>
        <v>Tuatara Capital Acquisition Corporation</v>
      </c>
      <c r="C699" s="95" t="str">
        <f>'Active and Pre-IPO SPACs'!C700</f>
        <v>Searching</v>
      </c>
      <c r="D699" s="91" t="str">
        <f>'Active and Pre-IPO SPACs'!D700</f>
        <v>Cannabis</v>
      </c>
      <c r="E699" s="96" t="str">
        <f>'Active and Pre-IPO SPACs'!E700</f>
        <v/>
      </c>
      <c r="F699" s="97" t="str">
        <f>'Active and Pre-IPO SPACs'!F700</f>
        <v>Jeffrey Bornstein (Fmr Vice Chairman/CFO, GE)</v>
      </c>
      <c r="G699" s="98">
        <f>'Active and Pre-IPO SPACs'!P700</f>
        <v>44238</v>
      </c>
      <c r="H699" s="99">
        <f>'Active and Pre-IPO SPACs'!Q700</f>
        <v>200</v>
      </c>
      <c r="I699" s="97">
        <f>'Active and Pre-IPO SPACs'!K700</f>
        <v>10.05</v>
      </c>
    </row>
    <row r="700">
      <c r="A700" s="103" t="str">
        <f>'Active and Pre-IPO SPACs'!A701</f>
        <v>TCG</v>
      </c>
      <c r="B700" s="95" t="str">
        <f>'Active and Pre-IPO SPACs'!B701</f>
        <v>TCG Growth Opportunities Corp.</v>
      </c>
      <c r="C700" s="95" t="str">
        <f>'Active and Pre-IPO SPACs'!C701</f>
        <v>Pre IPO</v>
      </c>
      <c r="D700" s="101" t="str">
        <f>'Active and Pre-IPO SPACs'!D701</f>
        <v>Consumer Internet</v>
      </c>
      <c r="E700" s="96" t="str">
        <f>'Active and Pre-IPO SPACs'!E701</f>
        <v/>
      </c>
      <c r="F700" s="97" t="str">
        <f>'Active and Pre-IPO SPACs'!F701</f>
        <v>Peter Chernin (Former COO, News Corp; Former CEO of Fox Group; Director, American Express), Erika Nardini (CEO, Barstool Sports)</v>
      </c>
      <c r="G700" s="98" t="str">
        <f>'Active and Pre-IPO SPACs'!P701</f>
        <v/>
      </c>
      <c r="H700" s="99">
        <f>'Active and Pre-IPO SPACs'!Q701</f>
        <v>250</v>
      </c>
      <c r="I700" s="97" t="str">
        <f>'Active and Pre-IPO SPACs'!K701</f>
        <v> </v>
      </c>
    </row>
    <row r="701">
      <c r="A701" s="103" t="str">
        <f>'Active and Pre-IPO SPACs'!A702</f>
        <v>TCOA</v>
      </c>
      <c r="B701" s="95" t="str">
        <f>'Active and Pre-IPO SPACs'!B702</f>
        <v>Trajectory Alpha Acquisition Corp.</v>
      </c>
      <c r="C701" s="95" t="str">
        <f>'Active and Pre-IPO SPACs'!C702</f>
        <v>Pre IPO</v>
      </c>
      <c r="D701" s="91" t="str">
        <f>'Active and Pre-IPO SPACs'!D702</f>
        <v>Tech </v>
      </c>
      <c r="E701" s="96" t="str">
        <f>'Active and Pre-IPO SPACs'!E702</f>
        <v/>
      </c>
      <c r="F701" s="97" t="str">
        <f>'Active and Pre-IPO SPACs'!F702</f>
        <v>Peter Bordes (Fmr CEO, Kubient)</v>
      </c>
      <c r="G701" s="98" t="str">
        <f>'Active and Pre-IPO SPACs'!P702</f>
        <v/>
      </c>
      <c r="H701" s="99">
        <f>'Active and Pre-IPO SPACs'!Q702</f>
        <v>150</v>
      </c>
      <c r="I701" s="97" t="str">
        <f>'Active and Pre-IPO SPACs'!K702</f>
        <v> </v>
      </c>
    </row>
    <row r="702">
      <c r="A702" s="103" t="str">
        <f>'Active and Pre-IPO SPACs'!A703</f>
        <v>TCPG</v>
      </c>
      <c r="B702" s="95" t="str">
        <f>'Active and Pre-IPO SPACs'!B703</f>
        <v>Transformational CPG Acquisition Corp.</v>
      </c>
      <c r="C702" s="95" t="str">
        <f>'Active and Pre-IPO SPACs'!C703</f>
        <v>Pre IPO</v>
      </c>
      <c r="D702" s="91" t="str">
        <f>'Active and Pre-IPO SPACs'!D703</f>
        <v/>
      </c>
      <c r="E702" s="96" t="str">
        <f>'Active and Pre-IPO SPACs'!E703</f>
        <v/>
      </c>
      <c r="F702" s="97" t="str">
        <f>'Active and Pre-IPO SPACs'!F703</f>
        <v/>
      </c>
      <c r="G702" s="98" t="str">
        <f>'Active and Pre-IPO SPACs'!P703</f>
        <v/>
      </c>
      <c r="H702" s="99">
        <f>'Active and Pre-IPO SPACs'!Q703</f>
        <v>300</v>
      </c>
      <c r="I702" s="97" t="str">
        <f>'Active and Pre-IPO SPACs'!K703</f>
        <v> </v>
      </c>
    </row>
    <row r="703">
      <c r="A703" s="103" t="str">
        <f>'Active and Pre-IPO SPACs'!A704</f>
        <v>TCVA</v>
      </c>
      <c r="B703" s="95" t="str">
        <f>'Active and Pre-IPO SPACs'!B704</f>
        <v>TCV Acquisition Corp.</v>
      </c>
      <c r="C703" s="95" t="str">
        <f>'Active and Pre-IPO SPACs'!C704</f>
        <v>Pre IPO</v>
      </c>
      <c r="D703" s="101" t="str">
        <f>'Active and Pre-IPO SPACs'!D704</f>
        <v>Tech: Software, Internet, and Fintech</v>
      </c>
      <c r="E703" s="96" t="str">
        <f>'Active and Pre-IPO SPACs'!E704</f>
        <v/>
      </c>
      <c r="F703" s="97" t="str">
        <f>'Active and Pre-IPO SPACs'!F704</f>
        <v>Jay Hoag (Founding General Partner of TCV, Director of Electronic Arts, Netflix, Peloton, TripAdvisor, &amp; Zillow), Woody Marshall (General Partner of TCV and Director of GoFundMe, Newsela, Payoneer, Retail Merchant Services, Sojern, Spotify, and Nerdy), Katie Mitic (Co-founder &amp; Co-CEO of SomethingElse, and Co-founder &amp; Former CEO of Sitch), Tayloe Stansbury (CEO of Kaleidescape and Former CTO of Intuit)</v>
      </c>
      <c r="G703" s="98" t="str">
        <f>'Active and Pre-IPO SPACs'!P704</f>
        <v/>
      </c>
      <c r="H703" s="99">
        <f>'Active and Pre-IPO SPACs'!Q704</f>
        <v>350</v>
      </c>
      <c r="I703" s="97" t="str">
        <f>'Active and Pre-IPO SPACs'!K704</f>
        <v> </v>
      </c>
    </row>
    <row r="704">
      <c r="A704" s="78" t="str">
        <f>'Active and Pre-IPO SPACs'!A705</f>
        <v>TDAC</v>
      </c>
      <c r="B704" s="95" t="str">
        <f>'Active and Pre-IPO SPACs'!B705</f>
        <v>Trident Acquisitions Corp</v>
      </c>
      <c r="C704" s="95" t="str">
        <f>'Active and Pre-IPO SPACs'!C705</f>
        <v>Definitive Agreement</v>
      </c>
      <c r="D704" s="91" t="str">
        <f>'Active and Pre-IPO SPACs'!D705</f>
        <v>Oil and Gas, Natural Resources, Europe</v>
      </c>
      <c r="E704" s="96" t="str">
        <f>'Active and Pre-IPO SPACs'!E705</f>
        <v>Lottery.com [DA: 02/22/21]</v>
      </c>
      <c r="F704" s="97" t="str">
        <f>'Active and Pre-IPO SPACs'!F705</f>
        <v/>
      </c>
      <c r="G704" s="98">
        <f>'Active and Pre-IPO SPACs'!P705</f>
        <v>43249</v>
      </c>
      <c r="H704" s="99">
        <f>'Active and Pre-IPO SPACs'!Q705</f>
        <v>201.25</v>
      </c>
      <c r="I704" s="97">
        <f>'Active and Pre-IPO SPACs'!K705</f>
        <v>15.55</v>
      </c>
    </row>
    <row r="705">
      <c r="A705" s="103" t="str">
        <f>'Active and Pre-IPO SPACs'!A706</f>
        <v>TEGA</v>
      </c>
      <c r="B705" s="95" t="str">
        <f>'Active and Pre-IPO SPACs'!B706</f>
        <v>Think Elevation Capital Growth Opportunities</v>
      </c>
      <c r="C705" s="95" t="str">
        <f>'Active and Pre-IPO SPACs'!C706</f>
        <v>Pre IPO</v>
      </c>
      <c r="D705" s="101" t="str">
        <f>'Active and Pre-IPO SPACs'!D706</f>
        <v>Tech in India</v>
      </c>
      <c r="E705" s="96" t="str">
        <f>'Active and Pre-IPO SPACs'!E706</f>
        <v/>
      </c>
      <c r="F705" s="97" t="str">
        <f>'Active and Pre-IPO SPACs'!F706</f>
        <v>Ravi Adusumalli (Founder/MP, Elevation Capital)</v>
      </c>
      <c r="G705" s="98" t="str">
        <f>'Active and Pre-IPO SPACs'!P706</f>
        <v/>
      </c>
      <c r="H705" s="99">
        <f>'Active and Pre-IPO SPACs'!Q706</f>
        <v>225</v>
      </c>
      <c r="I705" s="97" t="str">
        <f>'Active and Pre-IPO SPACs'!K706</f>
        <v> </v>
      </c>
    </row>
    <row r="706">
      <c r="A706" s="103" t="str">
        <f>'Active and Pre-IPO SPACs'!A707</f>
        <v>TEKC</v>
      </c>
      <c r="B706" s="95" t="str">
        <f>'Active and Pre-IPO SPACs'!B707</f>
        <v>Tekkorp Digital Acquisition Corp. II</v>
      </c>
      <c r="C706" s="95" t="str">
        <f>'Active and Pre-IPO SPACs'!C707</f>
        <v>Pre IPO</v>
      </c>
      <c r="D706" s="91" t="str">
        <f>'Active and Pre-IPO SPACs'!D707</f>
        <v>Digital media, sports, entertainment, leisure, gaming</v>
      </c>
      <c r="E706" s="96" t="str">
        <f>'Active and Pre-IPO SPACs'!E707</f>
        <v/>
      </c>
      <c r="F706" s="97" t="str">
        <f>'Active and Pre-IPO SPACs'!F707</f>
        <v>Matthew Davey (Fmr CEO, SG Digital), Tony Rodio (Fmr CEO, Caesars Entertainment)</v>
      </c>
      <c r="G706" s="98" t="str">
        <f>'Active and Pre-IPO SPACs'!P707</f>
        <v/>
      </c>
      <c r="H706" s="99">
        <f>'Active and Pre-IPO SPACs'!Q707</f>
        <v>150</v>
      </c>
      <c r="I706" s="97" t="str">
        <f>'Active and Pre-IPO SPACs'!K707</f>
        <v> </v>
      </c>
    </row>
    <row r="707">
      <c r="A707" s="78" t="str">
        <f>'Active and Pre-IPO SPACs'!A708</f>
        <v>TEKK</v>
      </c>
      <c r="B707" s="95" t="str">
        <f>'Active and Pre-IPO SPACs'!B708</f>
        <v>Tekkorp Digital Acquisition Corp</v>
      </c>
      <c r="C707" s="95" t="str">
        <f>'Active and Pre-IPO SPACs'!C708</f>
        <v>Searching</v>
      </c>
      <c r="D707" s="91" t="str">
        <f>'Active and Pre-IPO SPACs'!D708</f>
        <v>Digital media, sports, entertainment, leisure, gaming</v>
      </c>
      <c r="E707" s="96" t="str">
        <f>'Active and Pre-IPO SPACs'!E708</f>
        <v/>
      </c>
      <c r="F707" s="97" t="str">
        <f>'Active and Pre-IPO SPACs'!F708</f>
        <v>Matthew Davey (Fmr CEO, SG Digital), Tony Rodio (Fmr CEO, Caesars Entertainment)</v>
      </c>
      <c r="G707" s="98">
        <f>'Active and Pre-IPO SPACs'!P708</f>
        <v>44125</v>
      </c>
      <c r="H707" s="99">
        <f>'Active and Pre-IPO SPACs'!Q708</f>
        <v>250</v>
      </c>
      <c r="I707" s="97">
        <f>'Active and Pre-IPO SPACs'!K708</f>
        <v>10.5</v>
      </c>
    </row>
    <row r="708">
      <c r="A708" s="103" t="str">
        <f>'Active and Pre-IPO SPACs'!A709</f>
        <v>TETC</v>
      </c>
      <c r="B708" s="95" t="str">
        <f>'Active and Pre-IPO SPACs'!B709</f>
        <v>Tech &amp; Energy Transition Corp</v>
      </c>
      <c r="C708" s="95" t="str">
        <f>'Active and Pre-IPO SPACs'!C709</f>
        <v>Searching (Pre Unit Split)</v>
      </c>
      <c r="D708" s="101" t="str">
        <f>'Active and Pre-IPO SPACs'!D709</f>
        <v>Digital media, sports, entertainment, leisure, and gaming</v>
      </c>
      <c r="E708" s="96" t="str">
        <f>'Active and Pre-IPO SPACs'!E709</f>
        <v/>
      </c>
      <c r="F708" s="97" t="str">
        <f>'Active and Pre-IPO SPACs'!F709</f>
        <v>Matthew Davey (CEO of Tekkorp Capital, Former CEO of SG Digital, and Former CEO of NYX Gaming Group), Tony Rodio (Former CEO of Caesars Entertainment, Former CEO of Affinity Gaming, and Former CEO of Tropicana Entertainment)</v>
      </c>
      <c r="G708" s="98">
        <f>'Active and Pre-IPO SPACs'!P709</f>
        <v>44272</v>
      </c>
      <c r="H708" s="99">
        <f>'Active and Pre-IPO SPACs'!Q709</f>
        <v>385</v>
      </c>
      <c r="I708" s="97">
        <f>'Active and Pre-IPO SPACs'!K709</f>
        <v>9.98</v>
      </c>
    </row>
    <row r="709">
      <c r="A709" s="103" t="str">
        <f>'Active and Pre-IPO SPACs'!A710</f>
        <v>TGAA</v>
      </c>
      <c r="B709" s="95" t="str">
        <f>'Active and Pre-IPO SPACs'!B710</f>
        <v>Target Global Acquisition I Corp.</v>
      </c>
      <c r="C709" s="95" t="str">
        <f>'Active and Pre-IPO SPACs'!C710</f>
        <v>Pre IPO</v>
      </c>
      <c r="D709" s="101" t="str">
        <f>'Active and Pre-IPO SPACs'!D710</f>
        <v>Consumer Internet, Mobility, FinTech</v>
      </c>
      <c r="E709" s="96" t="str">
        <f>'Active and Pre-IPO SPACs'!E710</f>
        <v/>
      </c>
      <c r="F709" s="97" t="str">
        <f>'Active and Pre-IPO SPACs'!F710</f>
        <v>Michael Abbott (Founder/ Exec Chairman, Columbia Care)</v>
      </c>
      <c r="G709" s="98" t="str">
        <f>'Active and Pre-IPO SPACs'!P710</f>
        <v/>
      </c>
      <c r="H709" s="99">
        <f>'Active and Pre-IPO SPACs'!Q710</f>
        <v>250</v>
      </c>
      <c r="I709" s="97" t="str">
        <f>'Active and Pre-IPO SPACs'!K710</f>
        <v> </v>
      </c>
    </row>
    <row r="710">
      <c r="A710" s="78" t="str">
        <f>'Active and Pre-IPO SPACs'!A711</f>
        <v>THBR</v>
      </c>
      <c r="B710" s="95" t="str">
        <f>'Active and Pre-IPO SPACs'!B711</f>
        <v>Thunder Bridge Acquisition II</v>
      </c>
      <c r="C710" s="95" t="str">
        <f>'Active and Pre-IPO SPACs'!C711</f>
        <v>Definitive Agreement</v>
      </c>
      <c r="D710" s="91" t="str">
        <f>'Active and Pre-IPO SPACs'!D711</f>
        <v>Fintech</v>
      </c>
      <c r="E710" s="96" t="str">
        <f>'Active and Pre-IPO SPACs'!E711</f>
        <v>indie Semiconductor [DA: 12/15/20]</v>
      </c>
      <c r="F710" s="97" t="str">
        <f>'Active and Pre-IPO SPACs'!F711</f>
        <v>Peter Kight (Founder, CheckFree (acquired by FiServ), Director, Bill.com)</v>
      </c>
      <c r="G710" s="98">
        <f>'Active and Pre-IPO SPACs'!P711</f>
        <v>43685</v>
      </c>
      <c r="H710" s="99">
        <f>'Active and Pre-IPO SPACs'!Q711</f>
        <v>345</v>
      </c>
      <c r="I710" s="97">
        <f>'Active and Pre-IPO SPACs'!K711</f>
        <v>12.42</v>
      </c>
    </row>
    <row r="711">
      <c r="A711" s="78" t="str">
        <f>'Active and Pre-IPO SPACs'!A712</f>
        <v>THCA</v>
      </c>
      <c r="B711" s="95" t="str">
        <f>'Active and Pre-IPO SPACs'!B712</f>
        <v>Tuscan Holdings Corp II</v>
      </c>
      <c r="C711" s="95" t="str">
        <f>'Active and Pre-IPO SPACs'!C712</f>
        <v>Searching</v>
      </c>
      <c r="D711" s="91" t="str">
        <f>'Active and Pre-IPO SPACs'!D712</f>
        <v>Cannabis</v>
      </c>
      <c r="E711" s="96" t="str">
        <f>'Active and Pre-IPO SPACs'!E712</f>
        <v>[In talks (unconfirmed) with Transfix: Per Bloomberg 12/1/20]</v>
      </c>
      <c r="F711" s="97" t="str">
        <f>'Active and Pre-IPO SPACs'!F712</f>
        <v/>
      </c>
      <c r="G711" s="98">
        <f>'Active and Pre-IPO SPACs'!P712</f>
        <v>43657</v>
      </c>
      <c r="H711" s="99">
        <f>'Active and Pre-IPO SPACs'!Q712</f>
        <v>172.5</v>
      </c>
      <c r="I711" s="97">
        <f>'Active and Pre-IPO SPACs'!K712</f>
        <v>10.4</v>
      </c>
    </row>
    <row r="712">
      <c r="A712" s="78" t="str">
        <f>'Active and Pre-IPO SPACs'!A713</f>
        <v>THCB</v>
      </c>
      <c r="B712" s="95" t="str">
        <f>'Active and Pre-IPO SPACs'!B713</f>
        <v>Tuscan Holdings Corp</v>
      </c>
      <c r="C712" s="95" t="str">
        <f>'Active and Pre-IPO SPACs'!C713</f>
        <v>Definitive Agreement</v>
      </c>
      <c r="D712" s="91" t="str">
        <f>'Active and Pre-IPO SPACs'!D713</f>
        <v>Cannabis</v>
      </c>
      <c r="E712" s="96" t="str">
        <f>'Active and Pre-IPO SPACs'!E713</f>
        <v>Microvast Inc. [DA: 02/01/21]</v>
      </c>
      <c r="F712" s="97" t="str">
        <f>'Active and Pre-IPO SPACs'!F713</f>
        <v/>
      </c>
      <c r="G712" s="98">
        <f>'Active and Pre-IPO SPACs'!P713</f>
        <v>43529</v>
      </c>
      <c r="H712" s="99">
        <f>'Active and Pre-IPO SPACs'!Q713</f>
        <v>276</v>
      </c>
      <c r="I712" s="97">
        <f>'Active and Pre-IPO SPACs'!K713</f>
        <v>16.33</v>
      </c>
    </row>
    <row r="713">
      <c r="A713" s="103" t="str">
        <f>'Active and Pre-IPO SPACs'!A714</f>
        <v>THCP</v>
      </c>
      <c r="B713" s="95" t="str">
        <f>'Active and Pre-IPO SPACs'!B714</f>
        <v>Thunder Bridge Capital Partners IV, Inc.</v>
      </c>
      <c r="C713" s="95" t="str">
        <f>'Active and Pre-IPO SPACs'!C714</f>
        <v>Pre IPO</v>
      </c>
      <c r="D713" s="101" t="str">
        <f>'Active and Pre-IPO SPACs'!D714</f>
        <v>Financial Services</v>
      </c>
      <c r="E713" s="96" t="str">
        <f>'Active and Pre-IPO SPACs'!E714</f>
        <v/>
      </c>
      <c r="F713" s="97" t="str">
        <f>'Active and Pre-IPO SPACs'!F714</f>
        <v>David Mangum (Former COO of Global Payments, and Former CFO of CheckFree Corporation), Pete Kight (Founder, Former Chairman, &amp; CEO of CheckFree Corporation, Former Director &amp; Vice Vhairman of Fiserv, and Director of Bill.com)</v>
      </c>
      <c r="G713" s="98" t="str">
        <f>'Active and Pre-IPO SPACs'!P714</f>
        <v/>
      </c>
      <c r="H713" s="99">
        <f>'Active and Pre-IPO SPACs'!Q714</f>
        <v>225</v>
      </c>
      <c r="I713" s="97" t="str">
        <f>'Active and Pre-IPO SPACs'!K714</f>
        <v> </v>
      </c>
    </row>
    <row r="714">
      <c r="A714" s="78" t="str">
        <f>'Active and Pre-IPO SPACs'!A715</f>
        <v>THMA</v>
      </c>
      <c r="B714" s="95" t="str">
        <f>'Active and Pre-IPO SPACs'!B715</f>
        <v>Thimble Point Acquisition Corp.</v>
      </c>
      <c r="C714" s="95" t="str">
        <f>'Active and Pre-IPO SPACs'!C715</f>
        <v>Searching</v>
      </c>
      <c r="D714" s="91" t="str">
        <f>'Active and Pre-IPO SPACs'!D715</f>
        <v>Software, Tech</v>
      </c>
      <c r="E714" s="96" t="str">
        <f>'Active and Pre-IPO SPACs'!E715</f>
        <v/>
      </c>
      <c r="F714" s="97" t="str">
        <f>'Active and Pre-IPO SPACs'!F715</f>
        <v>Elon Bons (Co-founder, LaunchCapital), Michael Simon (Co-founder/Fmr CEO, LogMeIn)</v>
      </c>
      <c r="G714" s="98">
        <f>'Active and Pre-IPO SPACs'!P715</f>
        <v>44228</v>
      </c>
      <c r="H714" s="99">
        <f>'Active and Pre-IPO SPACs'!Q715</f>
        <v>276</v>
      </c>
      <c r="I714" s="97">
        <f>'Active and Pre-IPO SPACs'!K715</f>
        <v>10.04</v>
      </c>
    </row>
    <row r="715">
      <c r="A715" s="78" t="str">
        <f>'Active and Pre-IPO SPACs'!A716</f>
        <v>TINV</v>
      </c>
      <c r="B715" s="95" t="str">
        <f>'Active and Pre-IPO SPACs'!B716</f>
        <v>Tiga Acquisition Corp.</v>
      </c>
      <c r="C715" s="95" t="str">
        <f>'Active and Pre-IPO SPACs'!C716</f>
        <v>Searching</v>
      </c>
      <c r="D715" s="91" t="str">
        <f>'Active and Pre-IPO SPACs'!D716</f>
        <v/>
      </c>
      <c r="E715" s="96" t="str">
        <f>'Active and Pre-IPO SPACs'!E716</f>
        <v/>
      </c>
      <c r="F715" s="97" t="str">
        <f>'Active and Pre-IPO SPACs'!F716</f>
        <v/>
      </c>
      <c r="G715" s="98">
        <f>'Active and Pre-IPO SPACs'!P716</f>
        <v>44159</v>
      </c>
      <c r="H715" s="99">
        <f>'Active and Pre-IPO SPACs'!Q716</f>
        <v>278.76</v>
      </c>
      <c r="I715" s="97">
        <f>'Active and Pre-IPO SPACs'!K716</f>
        <v>10.93</v>
      </c>
    </row>
    <row r="716">
      <c r="A716" s="103" t="str">
        <f>'Active and Pre-IPO SPACs'!A717</f>
        <v>TIOA</v>
      </c>
      <c r="B716" s="95" t="str">
        <f>'Active and Pre-IPO SPACs'!B717</f>
        <v>Tio Tech A</v>
      </c>
      <c r="C716" s="95" t="str">
        <f>'Active and Pre-IPO SPACs'!C717</f>
        <v>Searching (Pre Unit Split)</v>
      </c>
      <c r="D716" s="101" t="str">
        <f>'Active and Pre-IPO SPACs'!D717</f>
        <v>Tech in Europe</v>
      </c>
      <c r="E716" s="96" t="str">
        <f>'Active and Pre-IPO SPACs'!E717</f>
        <v/>
      </c>
      <c r="F716" s="97" t="str">
        <f>'Active and Pre-IPO SPACs'!F717</f>
        <v>Dominik Richter (Founder &amp; CEO of HelloFresh), Victor Jacobsson (Co-founder of Klarna), Thomas Griesel (Co-founder of HelloFresh)</v>
      </c>
      <c r="G716" s="98">
        <f>'Active and Pre-IPO SPACs'!P717</f>
        <v>44294</v>
      </c>
      <c r="H716" s="99">
        <f>'Active and Pre-IPO SPACs'!Q717</f>
        <v>300</v>
      </c>
      <c r="I716" s="97">
        <f>'Active and Pre-IPO SPACs'!K717</f>
        <v>10</v>
      </c>
    </row>
    <row r="717">
      <c r="A717" s="78" t="str">
        <f>'Active and Pre-IPO SPACs'!A718</f>
        <v>TLGA</v>
      </c>
      <c r="B717" s="95" t="str">
        <f>'Active and Pre-IPO SPACs'!B718</f>
        <v>TLG Acquisition One Corp.</v>
      </c>
      <c r="C717" s="95" t="str">
        <f>'Active and Pre-IPO SPACs'!C718</f>
        <v>Searching</v>
      </c>
      <c r="D717" s="91" t="str">
        <f>'Active and Pre-IPO SPACs'!D718</f>
        <v>IT, healthcare, business services, financial services, ESG</v>
      </c>
      <c r="E717" s="96" t="str">
        <f>'Active and Pre-IPO SPACs'!E718</f>
        <v/>
      </c>
      <c r="F717" s="97" t="str">
        <f>'Active and Pre-IPO SPACs'!F718</f>
        <v>Mike Lawrie (Fmr CEO, DXC Technology; Founder, The Lawrie Group)</v>
      </c>
      <c r="G717" s="98">
        <f>'Active and Pre-IPO SPACs'!P718</f>
        <v>44223</v>
      </c>
      <c r="H717" s="99">
        <f>'Active and Pre-IPO SPACs'!Q718</f>
        <v>400</v>
      </c>
      <c r="I717" s="97">
        <f>'Active and Pre-IPO SPACs'!K718</f>
        <v>9.975</v>
      </c>
    </row>
    <row r="718">
      <c r="A718" s="78" t="str">
        <f>'Active and Pre-IPO SPACs'!A719</f>
        <v>TMAC</v>
      </c>
      <c r="B718" s="95" t="str">
        <f>'Active and Pre-IPO SPACs'!B719</f>
        <v>The Music Acquisition Corporation</v>
      </c>
      <c r="C718" s="95" t="str">
        <f>'Active and Pre-IPO SPACs'!C719</f>
        <v>Searching</v>
      </c>
      <c r="D718" s="91" t="str">
        <f>'Active and Pre-IPO SPACs'!D719</f>
        <v>Music</v>
      </c>
      <c r="E718" s="96" t="str">
        <f>'Active and Pre-IPO SPACs'!E719</f>
        <v/>
      </c>
      <c r="F718" s="97" t="str">
        <f>'Active and Pre-IPO SPACs'!F719</f>
        <v>Neil Jacobson (Fmr President, Geffen Records), Ben Silverman (Co-CEO, Propagate Content; Fmr Co-Chairman, NBC Entertainment and Universal Studios)</v>
      </c>
      <c r="G718" s="98">
        <f>'Active and Pre-IPO SPACs'!P719</f>
        <v>44229</v>
      </c>
      <c r="H718" s="99">
        <f>'Active and Pre-IPO SPACs'!Q719</f>
        <v>230</v>
      </c>
      <c r="I718" s="97">
        <f>'Active and Pre-IPO SPACs'!K719</f>
        <v>10.0165</v>
      </c>
    </row>
    <row r="719">
      <c r="A719" s="78" t="str">
        <f>'Active and Pre-IPO SPACs'!A720</f>
        <v>TMKR</v>
      </c>
      <c r="B719" s="95" t="str">
        <f>'Active and Pre-IPO SPACs'!B720</f>
        <v>Tastemaker Acquisition Corp.</v>
      </c>
      <c r="C719" s="95" t="str">
        <f>'Active and Pre-IPO SPACs'!C720</f>
        <v>Searching</v>
      </c>
      <c r="D719" s="91" t="str">
        <f>'Active and Pre-IPO SPACs'!D720</f>
        <v>Restaurant, Hospitality</v>
      </c>
      <c r="E719" s="96" t="str">
        <f>'Active and Pre-IPO SPACs'!E720</f>
        <v/>
      </c>
      <c r="F719" s="97" t="str">
        <f>'Active and Pre-IPO SPACs'!F720</f>
        <v>Dave Pace (Chairman, Red Robin; Fmr CEO, Jamba), Andy Pforzheimer (Co-founder, Barcelona &amp; Bartaco; Director, US Foods Holdings), Rick Federico (Director, Domino's Pizza; Fmr CEO, P.F. Chang's), Starlette Johnson (President, Lucky Strike Entertainment)</v>
      </c>
      <c r="G719" s="98">
        <f>'Active and Pre-IPO SPACs'!P720</f>
        <v>44204</v>
      </c>
      <c r="H719" s="99">
        <f>'Active and Pre-IPO SPACs'!Q720</f>
        <v>276</v>
      </c>
      <c r="I719" s="97">
        <f>'Active and Pre-IPO SPACs'!K720</f>
        <v>10.09</v>
      </c>
    </row>
    <row r="720">
      <c r="A720" s="78" t="str">
        <f>'Active and Pre-IPO SPACs'!A721</f>
        <v>TMPM</v>
      </c>
      <c r="B720" s="95" t="str">
        <f>'Active and Pre-IPO SPACs'!B721</f>
        <v>Turmeric Acquisition Corp</v>
      </c>
      <c r="C720" s="95" t="str">
        <f>'Active and Pre-IPO SPACs'!C721</f>
        <v>Searching</v>
      </c>
      <c r="D720" s="91" t="str">
        <f>'Active and Pre-IPO SPACs'!D721</f>
        <v>Biotech (emphasis on oncology &amp; rare disease therapeutics)</v>
      </c>
      <c r="E720" s="96" t="str">
        <f>'Active and Pre-IPO SPACs'!E721</f>
        <v/>
      </c>
      <c r="F720" s="97" t="str">
        <f>'Active and Pre-IPO SPACs'!F721</f>
        <v/>
      </c>
      <c r="G720" s="98">
        <f>'Active and Pre-IPO SPACs'!P721</f>
        <v>44119</v>
      </c>
      <c r="H720" s="99">
        <f>'Active and Pre-IPO SPACs'!Q721</f>
        <v>97.8</v>
      </c>
      <c r="I720" s="97">
        <f>'Active and Pre-IPO SPACs'!K721</f>
        <v>10.05</v>
      </c>
    </row>
    <row r="721">
      <c r="A721" s="78" t="str">
        <f>'Active and Pre-IPO SPACs'!A722</f>
        <v>TMTS</v>
      </c>
      <c r="B721" s="95" t="str">
        <f>'Active and Pre-IPO SPACs'!B722</f>
        <v>Spartacus Acquisition Corporation</v>
      </c>
      <c r="C721" s="95" t="str">
        <f>'Active and Pre-IPO SPACs'!C722</f>
        <v>Searching</v>
      </c>
      <c r="D721" s="91" t="str">
        <f>'Active and Pre-IPO SPACs'!D722</f>
        <v>TMT (Telecom, Media, Tech)</v>
      </c>
      <c r="E721" s="96" t="str">
        <f>'Active and Pre-IPO SPACs'!E722</f>
        <v/>
      </c>
      <c r="F721" s="97" t="str">
        <f>'Active and Pre-IPO SPACs'!F722</f>
        <v/>
      </c>
      <c r="G721" s="98">
        <f>'Active and Pre-IPO SPACs'!P722</f>
        <v>44119</v>
      </c>
      <c r="H721" s="99">
        <f>'Active and Pre-IPO SPACs'!Q722</f>
        <v>203</v>
      </c>
      <c r="I721" s="97">
        <f>'Active and Pre-IPO SPACs'!K722</f>
        <v>10.24</v>
      </c>
    </row>
    <row r="722">
      <c r="A722" s="103" t="str">
        <f>'Active and Pre-IPO SPACs'!A723</f>
        <v>TPBA</v>
      </c>
      <c r="B722" s="95" t="str">
        <f>'Active and Pre-IPO SPACs'!B723</f>
        <v>TPB Acquisition Corp I</v>
      </c>
      <c r="C722" s="95" t="str">
        <f>'Active and Pre-IPO SPACs'!C723</f>
        <v>Pre IPO</v>
      </c>
      <c r="D722" s="101" t="str">
        <f>'Active and Pre-IPO SPACs'!D723</f>
        <v>The Production Board (TPB) or TPB portfolio company &amp; a company in Sustainability (Food, Ag, Biomanufacturing, Life Sciences)</v>
      </c>
      <c r="E722" s="96" t="str">
        <f>'Active and Pre-IPO SPACs'!E723</f>
        <v/>
      </c>
      <c r="F722" s="97" t="str">
        <f>'Active and Pre-IPO SPACs'!F723</f>
        <v>David Friedberg (Founder/Chairman, Metromile; Founder, The CIimate Corporation), Bharat Vasan (Fmr COO, August Home), Dr. Neil Renninger (Co-founder/Co-CEO, Ripple Foods), Kerry Cooper (Fmr COO, Rothey’s; Fmr CMO, Walmart.com), April Underwood (Director, Zillow)</v>
      </c>
      <c r="G722" s="98" t="str">
        <f>'Active and Pre-IPO SPACs'!P723</f>
        <v/>
      </c>
      <c r="H722" s="99">
        <f>'Active and Pre-IPO SPACs'!Q723</f>
        <v>250</v>
      </c>
      <c r="I722" s="97" t="str">
        <f>'Active and Pre-IPO SPACs'!K723</f>
        <v> </v>
      </c>
    </row>
    <row r="723">
      <c r="A723" s="103" t="str">
        <f>'Active and Pre-IPO SPACs'!A724</f>
        <v>TPGS</v>
      </c>
      <c r="B723" s="95" t="str">
        <f>'Active and Pre-IPO SPACs'!B724</f>
        <v>TPG Pace Solutions Corp.</v>
      </c>
      <c r="C723" s="95" t="str">
        <f>'Active and Pre-IPO SPACs'!C724</f>
        <v>Searching</v>
      </c>
      <c r="D723" s="91" t="str">
        <f>'Active and Pre-IPO SPACs'!D724</f>
        <v/>
      </c>
      <c r="E723" s="96" t="str">
        <f>'Active and Pre-IPO SPACs'!E724</f>
        <v/>
      </c>
      <c r="F723" s="97" t="str">
        <f>'Active and Pre-IPO SPACs'!F724</f>
        <v>Karl Peterson (Senior Partner of TPG and Managing Partner of TPG Pace Group)</v>
      </c>
      <c r="G723" s="98">
        <f>'Active and Pre-IPO SPACs'!P724</f>
        <v>44294</v>
      </c>
      <c r="H723" s="99">
        <f>'Active and Pre-IPO SPACs'!Q724</f>
        <v>250</v>
      </c>
      <c r="I723" s="97" t="str">
        <f>'Active and Pre-IPO SPACs'!K724</f>
        <v> </v>
      </c>
    </row>
    <row r="724">
      <c r="A724" s="103" t="str">
        <f>'Active and Pre-IPO SPACs'!A725</f>
        <v>TPGT</v>
      </c>
      <c r="B724" s="95" t="str">
        <f>'Active and Pre-IPO SPACs'!B725</f>
        <v>TPG Pace Tech Opportunities II. Corp.</v>
      </c>
      <c r="C724" s="95" t="str">
        <f>'Active and Pre-IPO SPACs'!C725</f>
        <v>Pre IPO</v>
      </c>
      <c r="D724" s="91" t="str">
        <f>'Active and Pre-IPO SPACs'!D725</f>
        <v>Tech</v>
      </c>
      <c r="E724" s="96" t="str">
        <f>'Active and Pre-IPO SPACs'!E725</f>
        <v/>
      </c>
      <c r="F724" s="97" t="str">
        <f>'Active and Pre-IPO SPACs'!F725</f>
        <v>Karl Peterson (Senior Partner of TPG and Managing Partner of TPG Pace Group)</v>
      </c>
      <c r="G724" s="98" t="str">
        <f>'Active and Pre-IPO SPACs'!P725</f>
        <v/>
      </c>
      <c r="H724" s="99">
        <f>'Active and Pre-IPO SPACs'!Q725</f>
        <v>450</v>
      </c>
      <c r="I724" s="97" t="str">
        <f>'Active and Pre-IPO SPACs'!K725</f>
        <v> </v>
      </c>
    </row>
    <row r="725">
      <c r="A725" s="78" t="str">
        <f>'Active and Pre-IPO SPACs'!A726</f>
        <v>TPGY</v>
      </c>
      <c r="B725" s="95" t="str">
        <f>'Active and Pre-IPO SPACs'!B726</f>
        <v>TPG Pace Beneficial Finance Corp.</v>
      </c>
      <c r="C725" s="95" t="str">
        <f>'Active and Pre-IPO SPACs'!C726</f>
        <v>Definitive Agreement</v>
      </c>
      <c r="D725" s="91" t="str">
        <f>'Active and Pre-IPO SPACs'!D726</f>
        <v>Attractive fundamentals with strong ESG, or potential for improved ESG</v>
      </c>
      <c r="E725" s="96" t="str">
        <f>'Active and Pre-IPO SPACs'!E726</f>
        <v>EVBox Group (subsidiary of ENGIE S.A) [DA: 12/10/20]</v>
      </c>
      <c r="F725" s="97" t="str">
        <f>'Active and Pre-IPO SPACs'!F726</f>
        <v>TPG, Karl Peterson (Senior Partner of TPG; Managing Partner of TPG Pace Group)</v>
      </c>
      <c r="G725" s="98">
        <f>'Active and Pre-IPO SPACs'!P726</f>
        <v>44110</v>
      </c>
      <c r="H725" s="99">
        <f>'Active and Pre-IPO SPACs'!Q726</f>
        <v>350</v>
      </c>
      <c r="I725" s="97">
        <f>'Active and Pre-IPO SPACs'!K726</f>
        <v>19.45</v>
      </c>
    </row>
    <row r="726">
      <c r="A726" s="103" t="str">
        <f>'Active and Pre-IPO SPACs'!A727</f>
        <v>TRAQ</v>
      </c>
      <c r="B726" s="95" t="str">
        <f>'Active and Pre-IPO SPACs'!B727</f>
        <v>Trine II Acquisition Corp.</v>
      </c>
      <c r="C726" s="95" t="str">
        <f>'Active and Pre-IPO SPACs'!C727</f>
        <v>Pre IPO</v>
      </c>
      <c r="D726" s="91" t="str">
        <f>'Active and Pre-IPO SPACs'!D727</f>
        <v>TMT (Telecom, Media, Tech)</v>
      </c>
      <c r="E726" s="96" t="str">
        <f>'Active and Pre-IPO SPACs'!E727</f>
        <v/>
      </c>
      <c r="F726" s="97" t="str">
        <f>'Active and Pre-IPO SPACs'!F727</f>
        <v>Leo Hindery Jr. (Managing Partner, InterMedia Partners; Fmr CEO, AT&amp;T Broadband; Fmr CEO, TCI; and Director, Desktop Metal)</v>
      </c>
      <c r="G726" s="98" t="str">
        <f>'Active and Pre-IPO SPACs'!P727</f>
        <v/>
      </c>
      <c r="H726" s="99">
        <f>'Active and Pre-IPO SPACs'!Q727</f>
        <v>425</v>
      </c>
      <c r="I726" s="97" t="str">
        <f>'Active and Pre-IPO SPACs'!K727</f>
        <v> </v>
      </c>
    </row>
    <row r="727">
      <c r="A727" s="78" t="str">
        <f>'Active and Pre-IPO SPACs'!A728</f>
        <v>TRCA</v>
      </c>
      <c r="B727" s="95" t="str">
        <f>'Active and Pre-IPO SPACs'!B728</f>
        <v>Twin Ridge Capital Acquisition Corp.</v>
      </c>
      <c r="C727" s="95" t="str">
        <f>'Active and Pre-IPO SPACs'!C728</f>
        <v>Searching (Pre Unit Split)</v>
      </c>
      <c r="D727" s="91" t="str">
        <f>'Active and Pre-IPO SPACs'!D728</f>
        <v>Consumer, Distribution</v>
      </c>
      <c r="E727" s="96" t="str">
        <f>'Active and Pre-IPO SPACs'!E728</f>
        <v/>
      </c>
      <c r="F727" s="97" t="str">
        <f>'Active and Pre-IPO SPACs'!F728</f>
        <v>Dale Morrison (Fouding Partner Twin Ridge Capital; Fmr CEO, McCain Foods; Fmr CEO, Campbell Soup Co)</v>
      </c>
      <c r="G727" s="98">
        <f>'Active and Pre-IPO SPACs'!P728</f>
        <v>44259</v>
      </c>
      <c r="H727" s="99">
        <f>'Active and Pre-IPO SPACs'!Q728</f>
        <v>200</v>
      </c>
      <c r="I727" s="97">
        <f>'Active and Pre-IPO SPACs'!K728</f>
        <v>9.95</v>
      </c>
    </row>
    <row r="728">
      <c r="A728" s="78" t="str">
        <f>'Active and Pre-IPO SPACs'!A729</f>
        <v>TREB</v>
      </c>
      <c r="B728" s="95" t="str">
        <f>'Active and Pre-IPO SPACs'!B729</f>
        <v>Trebia Acquisition Corp</v>
      </c>
      <c r="C728" s="95" t="str">
        <f>'Active and Pre-IPO SPACs'!C729</f>
        <v>Searching</v>
      </c>
      <c r="D728" s="91" t="str">
        <f>'Active and Pre-IPO SPACs'!D729</f>
        <v>Financial Services, Tech</v>
      </c>
      <c r="E728" s="96" t="str">
        <f>'Active and Pre-IPO SPACs'!E729</f>
        <v/>
      </c>
      <c r="F728" s="97" t="str">
        <f>'Active and Pre-IPO SPACs'!F729</f>
        <v>Bill Foley (Chairman of Fidelity National Financial and Black Knight; Owner of NHL Team: Vegas Golden Knights)</v>
      </c>
      <c r="G728" s="98">
        <f>'Active and Pre-IPO SPACs'!P729</f>
        <v>43999</v>
      </c>
      <c r="H728" s="99">
        <f>'Active and Pre-IPO SPACs'!Q729</f>
        <v>517.5</v>
      </c>
      <c r="I728" s="97">
        <f>'Active and Pre-IPO SPACs'!K729</f>
        <v>10.5101</v>
      </c>
    </row>
    <row r="729">
      <c r="A729" s="103" t="str">
        <f>'Active and Pre-IPO SPACs'!A730</f>
        <v>TRIS</v>
      </c>
      <c r="B729" s="95" t="str">
        <f>'Active and Pre-IPO SPACs'!B730</f>
        <v>Tristar Acquisition I Corp.</v>
      </c>
      <c r="C729" s="95" t="str">
        <f>'Active and Pre-IPO SPACs'!C730</f>
        <v>Pre IPO</v>
      </c>
      <c r="D729" s="91" t="str">
        <f>'Active and Pre-IPO SPACs'!D730</f>
        <v>Telecom, Tech</v>
      </c>
      <c r="E729" s="96" t="str">
        <f>'Active and Pre-IPO SPACs'!E730</f>
        <v/>
      </c>
      <c r="F729" s="97" t="str">
        <f>'Active and Pre-IPO SPACs'!F730</f>
        <v/>
      </c>
      <c r="G729" s="98" t="str">
        <f>'Active and Pre-IPO SPACs'!P730</f>
        <v/>
      </c>
      <c r="H729" s="99">
        <f>'Active and Pre-IPO SPACs'!Q730</f>
        <v>250</v>
      </c>
      <c r="I729" s="97" t="str">
        <f>'Active and Pre-IPO SPACs'!K730</f>
        <v> </v>
      </c>
    </row>
    <row r="730">
      <c r="A730" s="103" t="str">
        <f>'Active and Pre-IPO SPACs'!A731</f>
        <v>TRNY</v>
      </c>
      <c r="B730" s="95" t="str">
        <f>'Active and Pre-IPO SPACs'!B731</f>
        <v>Trinity Acquisition Corp.</v>
      </c>
      <c r="C730" s="95" t="str">
        <f>'Active and Pre-IPO SPACs'!C731</f>
        <v>Pre IPO</v>
      </c>
      <c r="D730" s="91" t="str">
        <f>'Active and Pre-IPO SPACs'!D731</f>
        <v>Consumer lifestyle companies with compelling China potential</v>
      </c>
      <c r="E730" s="96" t="str">
        <f>'Active and Pre-IPO SPACs'!E731</f>
        <v/>
      </c>
      <c r="F730" s="97" t="str">
        <f>'Active and Pre-IPO SPACs'!F731</f>
        <v>Li Ning (Founder, Exec Chairman, Co-CEO of Li Ning Co; Fmr Chinese Olympic Gymnast)</v>
      </c>
      <c r="G730" s="98" t="str">
        <f>'Active and Pre-IPO SPACs'!P731</f>
        <v/>
      </c>
      <c r="H730" s="99">
        <f>'Active and Pre-IPO SPACs'!Q731</f>
        <v>250</v>
      </c>
      <c r="I730" s="97" t="str">
        <f>'Active and Pre-IPO SPACs'!K731</f>
        <v> </v>
      </c>
    </row>
    <row r="731">
      <c r="A731" s="103" t="str">
        <f>'Active and Pre-IPO SPACs'!A732</f>
        <v>TRTL</v>
      </c>
      <c r="B731" s="95" t="str">
        <f>'Active and Pre-IPO SPACs'!B732</f>
        <v>TortoiseEcofin Acquisition Corp. III</v>
      </c>
      <c r="C731" s="95" t="str">
        <f>'Active and Pre-IPO SPACs'!C732</f>
        <v>Pre IPO</v>
      </c>
      <c r="D731" s="91" t="str">
        <f>'Active and Pre-IPO SPACs'!D732</f>
        <v>Energy Transition, Sustainability</v>
      </c>
      <c r="E731" s="96" t="str">
        <f>'Active and Pre-IPO SPACs'!E732</f>
        <v/>
      </c>
      <c r="F731" s="97" t="str">
        <f>'Active and Pre-IPO SPACs'!F732</f>
        <v/>
      </c>
      <c r="G731" s="98" t="str">
        <f>'Active and Pre-IPO SPACs'!P732</f>
        <v/>
      </c>
      <c r="H731" s="99">
        <f>'Active and Pre-IPO SPACs'!Q732</f>
        <v>300</v>
      </c>
      <c r="I731" s="97" t="str">
        <f>'Active and Pre-IPO SPACs'!K732</f>
        <v> </v>
      </c>
    </row>
    <row r="732">
      <c r="A732" s="78" t="str">
        <f>'Active and Pre-IPO SPACs'!A733</f>
        <v>TSIA</v>
      </c>
      <c r="B732" s="95" t="str">
        <f>'Active and Pre-IPO SPACs'!B733</f>
        <v>TS Innovation Acquisitions Corp.</v>
      </c>
      <c r="C732" s="95" t="str">
        <f>'Active and Pre-IPO SPACs'!C733</f>
        <v>Definitive Agreement</v>
      </c>
      <c r="D732" s="91" t="str">
        <f>'Active and Pre-IPO SPACs'!D733</f>
        <v>Real Estate, Proptech</v>
      </c>
      <c r="E732" s="96" t="str">
        <f>'Active and Pre-IPO SPACs'!E733</f>
        <v>Latch [DA: 01/25/21]</v>
      </c>
      <c r="F732" s="97" t="str">
        <f>'Active and Pre-IPO SPACs'!F733</f>
        <v>Robert Speyer (CEO, Tishman Speyer)</v>
      </c>
      <c r="G732" s="98">
        <f>'Active and Pre-IPO SPACs'!P733</f>
        <v>44144</v>
      </c>
      <c r="H732" s="99">
        <f>'Active and Pre-IPO SPACs'!Q733</f>
        <v>300</v>
      </c>
      <c r="I732" s="97">
        <f>'Active and Pre-IPO SPACs'!K733</f>
        <v>11.37</v>
      </c>
    </row>
    <row r="733">
      <c r="A733" s="78" t="str">
        <f>'Active and Pre-IPO SPACs'!A734</f>
        <v>TSIB</v>
      </c>
      <c r="B733" s="95" t="str">
        <f>'Active and Pre-IPO SPACs'!B734</f>
        <v>Tishman Speyer Innovation Corp. II</v>
      </c>
      <c r="C733" s="95" t="str">
        <f>'Active and Pre-IPO SPACs'!C734</f>
        <v>Searching</v>
      </c>
      <c r="D733" s="91" t="str">
        <f>'Active and Pre-IPO SPACs'!D734</f>
        <v>Real Estate, Proptech</v>
      </c>
      <c r="E733" s="96" t="str">
        <f>'Active and Pre-IPO SPACs'!E734</f>
        <v/>
      </c>
      <c r="F733" s="97" t="str">
        <f>'Active and Pre-IPO SPACs'!F734</f>
        <v>Robert Speyer (CEO, Tishman Speyer), Ned Segal (CFO, Twitter), Jennifer Rubio (Co-founder/President, Away / JRSK)</v>
      </c>
      <c r="G733" s="98">
        <f>'Active and Pre-IPO SPACs'!P734</f>
        <v>44238</v>
      </c>
      <c r="H733" s="99">
        <f>'Active and Pre-IPO SPACs'!Q734</f>
        <v>300</v>
      </c>
      <c r="I733" s="97">
        <f>'Active and Pre-IPO SPACs'!K734</f>
        <v>10.18</v>
      </c>
    </row>
    <row r="734">
      <c r="A734" s="103" t="str">
        <f>'Active and Pre-IPO SPACs'!A735</f>
        <v>TSPQ</v>
      </c>
      <c r="B734" s="95" t="str">
        <f>'Active and Pre-IPO SPACs'!B735</f>
        <v>TCW Special Purpose Acquisition Corp.</v>
      </c>
      <c r="C734" s="95" t="str">
        <f>'Active and Pre-IPO SPACs'!C735</f>
        <v>Searching (Pre Unit Split)</v>
      </c>
      <c r="D734" s="91" t="str">
        <f>'Active and Pre-IPO SPACs'!D735</f>
        <v>Tech, Healthcare, Industrial, Consumer</v>
      </c>
      <c r="E734" s="96" t="str">
        <f>'Active and Pre-IPO SPACs'!E735</f>
        <v/>
      </c>
      <c r="F734" s="97" t="str">
        <f>'Active and Pre-IPO SPACs'!F735</f>
        <v>Brad Buss (Fmr CFO, SolarCity; Director, QuantumScape and Advance Auto Parts), Thomas Tippl (Vice Chairman and Fmr COO, Activision Blizzard)</v>
      </c>
      <c r="G734" s="98">
        <f>'Active and Pre-IPO SPACs'!P735</f>
        <v>44256</v>
      </c>
      <c r="H734" s="99">
        <f>'Active and Pre-IPO SPACs'!Q735</f>
        <v>450</v>
      </c>
      <c r="I734" s="97">
        <f>'Active and Pre-IPO SPACs'!K735</f>
        <v>10</v>
      </c>
    </row>
    <row r="735">
      <c r="A735" s="103" t="str">
        <f>'Active and Pre-IPO SPACs'!A736</f>
        <v>TTO</v>
      </c>
      <c r="B735" s="95" t="str">
        <f>'Active and Pre-IPO SPACs'!B736</f>
        <v>Tiga Acquisition Corp. II</v>
      </c>
      <c r="C735" s="95" t="str">
        <f>'Active and Pre-IPO SPACs'!C736</f>
        <v>Pre IPO</v>
      </c>
      <c r="D735" s="91" t="str">
        <f>'Active and Pre-IPO SPACs'!D736</f>
        <v/>
      </c>
      <c r="E735" s="96" t="str">
        <f>'Active and Pre-IPO SPACs'!E736</f>
        <v/>
      </c>
      <c r="F735" s="97" t="str">
        <f>'Active and Pre-IPO SPACs'!F736</f>
        <v>Raymond Zage (CEO of Tiga Investments)</v>
      </c>
      <c r="G735" s="98" t="str">
        <f>'Active and Pre-IPO SPACs'!P736</f>
        <v/>
      </c>
      <c r="H735" s="99">
        <f>'Active and Pre-IPO SPACs'!Q736</f>
        <v>200</v>
      </c>
      <c r="I735" s="97" t="str">
        <f>'Active and Pre-IPO SPACs'!K736</f>
        <v> </v>
      </c>
    </row>
    <row r="736">
      <c r="A736" s="103" t="str">
        <f>'Active and Pre-IPO SPACs'!A737</f>
        <v>TTRE</v>
      </c>
      <c r="B736" s="95" t="str">
        <f>'Active and Pre-IPO SPACs'!B737</f>
        <v>Tiga Acquisition Corp. III</v>
      </c>
      <c r="C736" s="95" t="str">
        <f>'Active and Pre-IPO SPACs'!C737</f>
        <v>Pre IPO</v>
      </c>
      <c r="D736" s="91" t="str">
        <f>'Active and Pre-IPO SPACs'!D737</f>
        <v/>
      </c>
      <c r="E736" s="96" t="str">
        <f>'Active and Pre-IPO SPACs'!E737</f>
        <v/>
      </c>
      <c r="F736" s="97" t="str">
        <f>'Active and Pre-IPO SPACs'!F737</f>
        <v>Raymond Zage (CEO of Tiga Investments)</v>
      </c>
      <c r="G736" s="98" t="str">
        <f>'Active and Pre-IPO SPACs'!P737</f>
        <v/>
      </c>
      <c r="H736" s="99">
        <f>'Active and Pre-IPO SPACs'!Q737</f>
        <v>300</v>
      </c>
      <c r="I736" s="97" t="str">
        <f>'Active and Pre-IPO SPACs'!K737</f>
        <v> </v>
      </c>
    </row>
    <row r="737">
      <c r="A737" s="103" t="str">
        <f>'Active and Pre-IPO SPACs'!A738</f>
        <v>TUGC</v>
      </c>
      <c r="B737" s="95" t="str">
        <f>'Active and Pre-IPO SPACs'!B738</f>
        <v>TradeUP Global Corp</v>
      </c>
      <c r="C737" s="95" t="str">
        <f>'Active and Pre-IPO SPACs'!C738</f>
        <v>Pre IPO</v>
      </c>
      <c r="D737" s="91" t="str">
        <f>'Active and Pre-IPO SPACs'!D738</f>
        <v/>
      </c>
      <c r="E737" s="96" t="str">
        <f>'Active and Pre-IPO SPACs'!E738</f>
        <v/>
      </c>
      <c r="F737" s="97" t="str">
        <f>'Active and Pre-IPO SPACs'!F738</f>
        <v/>
      </c>
      <c r="G737" s="98" t="str">
        <f>'Active and Pre-IPO SPACs'!P738</f>
        <v/>
      </c>
      <c r="H737" s="99">
        <f>'Active and Pre-IPO SPACs'!Q738</f>
        <v>40</v>
      </c>
      <c r="I737" s="97" t="str">
        <f>'Active and Pre-IPO SPACs'!K738</f>
        <v> </v>
      </c>
    </row>
    <row r="738">
      <c r="A738" s="78" t="str">
        <f>'Active and Pre-IPO SPACs'!A739</f>
        <v>TVAC</v>
      </c>
      <c r="B738" s="95" t="str">
        <f>'Active and Pre-IPO SPACs'!B739</f>
        <v>Thayer Ventures Acquisition Corp</v>
      </c>
      <c r="C738" s="95" t="str">
        <f>'Active and Pre-IPO SPACs'!C739</f>
        <v>Searching</v>
      </c>
      <c r="D738" s="91" t="str">
        <f>'Active and Pre-IPO SPACs'!D739</f>
        <v>Travel and Transportation Tech</v>
      </c>
      <c r="E738" s="96" t="str">
        <f>'Active and Pre-IPO SPACs'!E739</f>
        <v/>
      </c>
      <c r="F738" s="97" t="str">
        <f>'Active and Pre-IPO SPACs'!F739</f>
        <v>Mark Farrell (Managing Director, Thayer Ventures; Former Mayor of San Francisco), Charles Floyd (Exec VP, Hyatt Hotels), </v>
      </c>
      <c r="G738" s="98">
        <f>'Active and Pre-IPO SPACs'!P739</f>
        <v>44176</v>
      </c>
      <c r="H738" s="99">
        <f>'Active and Pre-IPO SPACs'!Q739</f>
        <v>175.95</v>
      </c>
      <c r="I738" s="97">
        <f>'Active and Pre-IPO SPACs'!K739</f>
        <v>10.35</v>
      </c>
    </row>
    <row r="739">
      <c r="A739" s="103" t="str">
        <f>'Active and Pre-IPO SPACs'!A740</f>
        <v>TWCB</v>
      </c>
      <c r="B739" s="95" t="str">
        <f>'Active and Pre-IPO SPACs'!B740</f>
        <v>Bilander Acquisition Corp.</v>
      </c>
      <c r="C739" s="95" t="str">
        <f>'Active and Pre-IPO SPACs'!C740</f>
        <v>Pre IPO</v>
      </c>
      <c r="D739" s="101" t="str">
        <f>'Active and Pre-IPO SPACs'!D740</f>
        <v>Tech</v>
      </c>
      <c r="E739" s="96" t="str">
        <f>'Active and Pre-IPO SPACs'!E740</f>
        <v/>
      </c>
      <c r="F739" s="97" t="str">
        <f>'Active and Pre-IPO SPACs'!F740</f>
        <v>James Greene, Jr. (Founding Partner of True Wind Capital), Lee Kirkpatrick (Former CFO of Twilio), Scott Wagner (Former CEO of GoDaddy)</v>
      </c>
      <c r="G739" s="98" t="str">
        <f>'Active and Pre-IPO SPACs'!P740</f>
        <v/>
      </c>
      <c r="H739" s="99">
        <f>'Active and Pre-IPO SPACs'!Q740</f>
        <v>150</v>
      </c>
      <c r="I739" s="97" t="str">
        <f>'Active and Pre-IPO SPACs'!K740</f>
        <v> </v>
      </c>
    </row>
    <row r="740">
      <c r="A740" s="103" t="str">
        <f>'Active and Pre-IPO SPACs'!A741</f>
        <v>TWCG</v>
      </c>
      <c r="B740" s="95" t="str">
        <f>'Active and Pre-IPO SPACs'!B741</f>
        <v>Galliot Acquisition Corp.</v>
      </c>
      <c r="C740" s="95" t="str">
        <f>'Active and Pre-IPO SPACs'!C741</f>
        <v>Pre IPO</v>
      </c>
      <c r="D740" s="101" t="str">
        <f>'Active and Pre-IPO SPACs'!D741</f>
        <v>Tech</v>
      </c>
      <c r="E740" s="96" t="str">
        <f>'Active and Pre-IPO SPACs'!E741</f>
        <v/>
      </c>
      <c r="F740" s="97" t="str">
        <f>'Active and Pre-IPO SPACs'!F741</f>
        <v>James Greene, Jr. (Founding Partner of True Wind Capital), Lee Kirkpatrick (Former CFO of Twilio), Scott Wagner (Former CEO of GoDaddy)</v>
      </c>
      <c r="G740" s="98" t="str">
        <f>'Active and Pre-IPO SPACs'!P741</f>
        <v/>
      </c>
      <c r="H740" s="99">
        <f>'Active and Pre-IPO SPACs'!Q741</f>
        <v>250</v>
      </c>
      <c r="I740" s="97" t="str">
        <f>'Active and Pre-IPO SPACs'!K741</f>
        <v> </v>
      </c>
    </row>
    <row r="741">
      <c r="A741" s="103" t="str">
        <f>'Active and Pre-IPO SPACs'!A742</f>
        <v>TWCM</v>
      </c>
      <c r="B741" s="95" t="str">
        <f>'Active and Pre-IPO SPACs'!B742</f>
        <v>Mistico Acquisition Corp.</v>
      </c>
      <c r="C741" s="95" t="str">
        <f>'Active and Pre-IPO SPACs'!C742</f>
        <v>Pre IPO</v>
      </c>
      <c r="D741" s="91" t="str">
        <f>'Active and Pre-IPO SPACs'!D742</f>
        <v/>
      </c>
      <c r="E741" s="96" t="str">
        <f>'Active and Pre-IPO SPACs'!E742</f>
        <v/>
      </c>
      <c r="F741" s="97" t="str">
        <f>'Active and Pre-IPO SPACs'!F742</f>
        <v/>
      </c>
      <c r="G741" s="98" t="str">
        <f>'Active and Pre-IPO SPACs'!P742</f>
        <v/>
      </c>
      <c r="H741" s="99">
        <f>'Active and Pre-IPO SPACs'!Q742</f>
        <v>400</v>
      </c>
      <c r="I741" s="97" t="str">
        <f>'Active and Pre-IPO SPACs'!K742</f>
        <v> </v>
      </c>
    </row>
    <row r="742">
      <c r="A742" s="78" t="str">
        <f>'Active and Pre-IPO SPACs'!A743</f>
        <v>TWCT</v>
      </c>
      <c r="B742" s="95" t="str">
        <f>'Active and Pre-IPO SPACs'!B743</f>
        <v>TWC Tech Holdings II Corp</v>
      </c>
      <c r="C742" s="95" t="str">
        <f>'Active and Pre-IPO SPACs'!C743</f>
        <v>Definitive Agreement</v>
      </c>
      <c r="D742" s="91" t="str">
        <f>'Active and Pre-IPO SPACs'!D743</f>
        <v>Tech</v>
      </c>
      <c r="E742" s="96" t="str">
        <f>'Active and Pre-IPO SPACs'!E743</f>
        <v>Cellebrite [DA: 04/08/21]</v>
      </c>
      <c r="F742" s="97" t="str">
        <f>'Active and Pre-IPO SPACs'!F743</f>
        <v>True Wind Capital, Scott Wagner (Former CEO, GoDaddy)</v>
      </c>
      <c r="G742" s="98">
        <f>'Active and Pre-IPO SPACs'!P743</f>
        <v>44085</v>
      </c>
      <c r="H742" s="99">
        <f>'Active and Pre-IPO SPACs'!Q743</f>
        <v>600</v>
      </c>
      <c r="I742" s="97">
        <f>'Active and Pre-IPO SPACs'!K743</f>
        <v>10.375</v>
      </c>
    </row>
    <row r="743">
      <c r="A743" s="103" t="str">
        <f>'Active and Pre-IPO SPACs'!A744</f>
        <v>TWIC</v>
      </c>
      <c r="B743" s="95" t="str">
        <f>'Active and Pre-IPO SPACs'!B744</f>
        <v>Twist Investment Corp</v>
      </c>
      <c r="C743" s="95" t="str">
        <f>'Active and Pre-IPO SPACs'!C744</f>
        <v>Pre IPO</v>
      </c>
      <c r="D743" s="91" t="str">
        <f>'Active and Pre-IPO SPACs'!D744</f>
        <v>Tech</v>
      </c>
      <c r="E743" s="96" t="str">
        <f>'Active and Pre-IPO SPACs'!E744</f>
        <v/>
      </c>
      <c r="F743" s="97" t="str">
        <f>'Active and Pre-IPO SPACs'!F744</f>
        <v>Sean Madnani (CEO, Twist Capital; Fmr Sr. Managing Director, Blackstone), Mary Dotz (Fmr CFO, Adaptec; Fmr Interim CFO, NVIDIA), Jeffrey Benck (CEO, Benchmark Electronics), Subramanian Sundaresh (Fmr CEO, Adaptec)</v>
      </c>
      <c r="G743" s="98" t="str">
        <f>'Active and Pre-IPO SPACs'!P744</f>
        <v/>
      </c>
      <c r="H743" s="99">
        <f>'Active and Pre-IPO SPACs'!Q744</f>
        <v>175</v>
      </c>
      <c r="I743" s="97" t="str">
        <f>'Active and Pre-IPO SPACs'!K744</f>
        <v> </v>
      </c>
    </row>
    <row r="744">
      <c r="A744" s="78" t="str">
        <f>'Active and Pre-IPO SPACs'!A745</f>
        <v>TWLV</v>
      </c>
      <c r="B744" s="95" t="str">
        <f>'Active and Pre-IPO SPACs'!B745</f>
        <v>Twelve Seas Investment Co. II</v>
      </c>
      <c r="C744" s="95" t="str">
        <f>'Active and Pre-IPO SPACs'!C745</f>
        <v>Searching (Pre Unit Split)</v>
      </c>
      <c r="D744" s="101" t="str">
        <f>'Active and Pre-IPO SPACs'!D745</f>
        <v>Non-US, focus in Pan-Eurasian region (incl: Western Europe, Eastern Europe &amp; Middle East)</v>
      </c>
      <c r="E744" s="96" t="str">
        <f>'Active and Pre-IPO SPACs'!E745</f>
        <v/>
      </c>
      <c r="F744" s="97" t="str">
        <f>'Active and Pre-IPO SPACs'!F745</f>
        <v/>
      </c>
      <c r="G744" s="98">
        <f>'Active and Pre-IPO SPACs'!P745</f>
        <v>44252</v>
      </c>
      <c r="H744" s="99">
        <f>'Active and Pre-IPO SPACs'!Q745</f>
        <v>300</v>
      </c>
      <c r="I744" s="97">
        <f>'Active and Pre-IPO SPACs'!K745</f>
        <v>9.95</v>
      </c>
    </row>
    <row r="745">
      <c r="A745" s="78" t="str">
        <f>'Active and Pre-IPO SPACs'!A746</f>
        <v>TWND</v>
      </c>
      <c r="B745" s="95" t="str">
        <f>'Active and Pre-IPO SPACs'!B746</f>
        <v>Tailwind Acquisition Corp.</v>
      </c>
      <c r="C745" s="95" t="str">
        <f>'Active and Pre-IPO SPACs'!C746</f>
        <v>Definitive Agreement</v>
      </c>
      <c r="D745" s="91" t="str">
        <f>'Active and Pre-IPO SPACs'!D746</f>
        <v>Tech, Consumer Internet, Digital Media, Marketing Tech</v>
      </c>
      <c r="E745" s="96" t="str">
        <f>'Active and Pre-IPO SPACs'!E746</f>
        <v>QOMPLX [DA: 03/01/21]</v>
      </c>
      <c r="F745" s="97" t="str">
        <f>'Active and Pre-IPO SPACs'!F746</f>
        <v>Philip Krim (Founder &amp; CEO, Casper Sleep), Neha Parikh (Former President of 
Hotwire, Board Member of Carvana)</v>
      </c>
      <c r="G745" s="98">
        <f>'Active and Pre-IPO SPACs'!P746</f>
        <v>44078</v>
      </c>
      <c r="H745" s="99">
        <f>'Active and Pre-IPO SPACs'!Q746</f>
        <v>334.2157</v>
      </c>
      <c r="I745" s="97">
        <f>'Active and Pre-IPO SPACs'!K746</f>
        <v>10.685</v>
      </c>
    </row>
    <row r="746">
      <c r="A746" s="78" t="str">
        <f>'Active and Pre-IPO SPACs'!A747</f>
        <v>TWNI</v>
      </c>
      <c r="B746" s="95" t="str">
        <f>'Active and Pre-IPO SPACs'!B747</f>
        <v>Tailwind International Acquisition Corp.</v>
      </c>
      <c r="C746" s="95" t="str">
        <f>'Active and Pre-IPO SPACs'!C747</f>
        <v>Searching</v>
      </c>
      <c r="D746" s="91" t="str">
        <f>'Active and Pre-IPO SPACs'!D747</f>
        <v>Consumer Internet, Tech outside of US (Focus on Europe)</v>
      </c>
      <c r="E746" s="96" t="str">
        <f>'Active and Pre-IPO SPACs'!E747</f>
        <v/>
      </c>
      <c r="F746" s="97" t="str">
        <f>'Active and Pre-IPO SPACs'!F747</f>
        <v>Philip Krim (Founder &amp; CEO, Casper Sleep), Pierre Denis (Fmr CEO, Jimmy Choo)</v>
      </c>
      <c r="G746" s="98">
        <f>'Active and Pre-IPO SPACs'!P747</f>
        <v>44245</v>
      </c>
      <c r="H746" s="99">
        <f>'Active and Pre-IPO SPACs'!Q747</f>
        <v>345</v>
      </c>
      <c r="I746" s="97">
        <f>'Active and Pre-IPO SPACs'!K747</f>
        <v>10</v>
      </c>
    </row>
    <row r="747">
      <c r="A747" s="103" t="str">
        <f>'Active and Pre-IPO SPACs'!A748</f>
        <v>TWNT</v>
      </c>
      <c r="B747" s="95" t="str">
        <f>'Active and Pre-IPO SPACs'!B748</f>
        <v>Tailwind Two Acquisition Corp.</v>
      </c>
      <c r="C747" s="95" t="str">
        <f>'Active and Pre-IPO SPACs'!C748</f>
        <v>Searching (Pre Unit Split)</v>
      </c>
      <c r="D747" s="91" t="str">
        <f>'Active and Pre-IPO SPACs'!D748</f>
        <v>Tech</v>
      </c>
      <c r="E747" s="96" t="str">
        <f>'Active and Pre-IPO SPACs'!E748</f>
        <v/>
      </c>
      <c r="F747" s="97" t="str">
        <f>'Active and Pre-IPO SPACs'!F748</f>
        <v>Philip Krim (Founder &amp; CEO, Casper Sleep), Chris Hollod (Fmr Managing Partner, A-Grade Investments) </v>
      </c>
      <c r="G747" s="98">
        <f>'Active and Pre-IPO SPACs'!P748</f>
        <v>44260</v>
      </c>
      <c r="H747" s="99">
        <f>'Active and Pre-IPO SPACs'!Q748</f>
        <v>345</v>
      </c>
      <c r="I747" s="97">
        <f>'Active and Pre-IPO SPACs'!K748</f>
        <v>10.1</v>
      </c>
    </row>
    <row r="748">
      <c r="A748" s="103" t="str">
        <f>'Active and Pre-IPO SPACs'!A749</f>
        <v>TWOA</v>
      </c>
      <c r="B748" s="95" t="str">
        <f>'Active and Pre-IPO SPACs'!B749</f>
        <v>two</v>
      </c>
      <c r="C748" s="95" t="str">
        <f>'Active and Pre-IPO SPACs'!C749</f>
        <v>Searching</v>
      </c>
      <c r="D748" s="91" t="str">
        <f>'Active and Pre-IPO SPACs'!D749</f>
        <v>Tech</v>
      </c>
      <c r="E748" s="96" t="str">
        <f>'Active and Pre-IPO SPACs'!E749</f>
        <v/>
      </c>
      <c r="F748" s="97" t="str">
        <f>'Active and Pre-IPO SPACs'!F749</f>
        <v>Kevin Hartz (Co-Founder, Chairman, &amp; Former CEO of Eventbrite, and Co-founder &amp; Former CEO of Xoom), Gautam Gupta (Former CFO &amp; COO of Opendoor.com), Pierre Lamond (Former General Partner at Sequoia Capital, Former Chairman of Cypress Semiconductor, and Former General Partner at Khosla Ventures)</v>
      </c>
      <c r="G748" s="98">
        <f>'Active and Pre-IPO SPACs'!P749</f>
        <v>44285</v>
      </c>
      <c r="H748" s="99">
        <f>'Active and Pre-IPO SPACs'!Q749</f>
        <v>206</v>
      </c>
      <c r="I748" s="97" t="str">
        <f>'Active and Pre-IPO SPACs'!K749</f>
        <v> </v>
      </c>
    </row>
    <row r="749">
      <c r="A749" s="78" t="str">
        <f>'Active and Pre-IPO SPACs'!A750</f>
        <v>TZPS</v>
      </c>
      <c r="B749" s="95" t="str">
        <f>'Active and Pre-IPO SPACs'!B750</f>
        <v>TZP Strategies Acquisition Corp.</v>
      </c>
      <c r="C749" s="95" t="str">
        <f>'Active and Pre-IPO SPACs'!C750</f>
        <v>Searching</v>
      </c>
      <c r="D749" s="91" t="str">
        <f>'Active and Pre-IPO SPACs'!D750</f>
        <v>Tech services, Business services, Consumer Products and Services</v>
      </c>
      <c r="E749" s="96" t="str">
        <f>'Active and Pre-IPO SPACs'!E750</f>
        <v/>
      </c>
      <c r="F749" s="97" t="str">
        <f>'Active and Pre-IPO SPACs'!F750</f>
        <v>Kenneth Esterow (Fmr CEO, Bankrate)</v>
      </c>
      <c r="G749" s="98">
        <f>'Active and Pre-IPO SPACs'!P750</f>
        <v>44215</v>
      </c>
      <c r="H749" s="99">
        <f>'Active and Pre-IPO SPACs'!Q750</f>
        <v>287.5</v>
      </c>
      <c r="I749" s="97">
        <f>'Active and Pre-IPO SPACs'!K750</f>
        <v>9.9</v>
      </c>
    </row>
    <row r="750">
      <c r="A750" s="103" t="str">
        <f>'Active and Pre-IPO SPACs'!A751</f>
        <v>UNOO</v>
      </c>
      <c r="B750" s="95" t="str">
        <f>'Active and Pre-IPO SPACs'!B751</f>
        <v>1Sharpe Acquisition Corp.</v>
      </c>
      <c r="C750" s="95" t="str">
        <f>'Active and Pre-IPO SPACs'!C751</f>
        <v>Pre IPO</v>
      </c>
      <c r="D750" s="101" t="str">
        <f>'Active and Pre-IPO SPACs'!D751</f>
        <v>PropTech or Fintech</v>
      </c>
      <c r="E750" s="96" t="str">
        <f>'Active and Pre-IPO SPACs'!E751</f>
        <v/>
      </c>
      <c r="F750" s="97" t="str">
        <f>'Active and Pre-IPO SPACs'!F751</f>
        <v>Gregor Watson (Co-founder &amp; Chairman of Roofstock)</v>
      </c>
      <c r="G750" s="98" t="str">
        <f>'Active and Pre-IPO SPACs'!P751</f>
        <v/>
      </c>
      <c r="H750" s="99">
        <f>'Active and Pre-IPO SPACs'!Q751</f>
        <v>225</v>
      </c>
      <c r="I750" s="97" t="str">
        <f>'Active and Pre-IPO SPACs'!K751</f>
        <v> </v>
      </c>
    </row>
    <row r="751">
      <c r="A751" s="103" t="str">
        <f>'Active and Pre-IPO SPACs'!A752</f>
        <v>UPTD</v>
      </c>
      <c r="B751" s="95" t="str">
        <f>'Active and Pre-IPO SPACs'!B752</f>
        <v>TradeUP Acquisition Corp.</v>
      </c>
      <c r="C751" s="95" t="str">
        <f>'Active and Pre-IPO SPACs'!C752</f>
        <v>Pre IPO</v>
      </c>
      <c r="D751" s="101" t="str">
        <f>'Active and Pre-IPO SPACs'!D752</f>
        <v>Tech (automation, energy efficiency, Artificial Intelligence)</v>
      </c>
      <c r="E751" s="96" t="str">
        <f>'Active and Pre-IPO SPACs'!E752</f>
        <v/>
      </c>
      <c r="F751" s="97" t="str">
        <f>'Active and Pre-IPO SPACs'!F752</f>
        <v/>
      </c>
      <c r="G751" s="98" t="str">
        <f>'Active and Pre-IPO SPACs'!P752</f>
        <v/>
      </c>
      <c r="H751" s="99">
        <f>'Active and Pre-IPO SPACs'!Q752</f>
        <v>40</v>
      </c>
      <c r="I751" s="97" t="str">
        <f>'Active and Pre-IPO SPACs'!K752</f>
        <v> </v>
      </c>
    </row>
    <row r="752">
      <c r="A752" s="78" t="str">
        <f>'Active and Pre-IPO SPACs'!A753</f>
        <v>UTXO</v>
      </c>
      <c r="B752" s="95" t="str">
        <f>'Active and Pre-IPO SPACs'!B753</f>
        <v>UTXO Acquisition</v>
      </c>
      <c r="C752" s="95" t="str">
        <f>'Active and Pre-IPO SPACs'!C753</f>
        <v>Pre IPO</v>
      </c>
      <c r="D752" s="91" t="str">
        <f>'Active and Pre-IPO SPACs'!D753</f>
        <v>Tech</v>
      </c>
      <c r="E752" s="96" t="str">
        <f>'Active and Pre-IPO SPACs'!E753</f>
        <v/>
      </c>
      <c r="F752" s="97" t="str">
        <f>'Active and Pre-IPO SPACs'!F753</f>
        <v/>
      </c>
      <c r="G752" s="98" t="str">
        <f>'Active and Pre-IPO SPACs'!P753</f>
        <v/>
      </c>
      <c r="H752" s="99">
        <f>'Active and Pre-IPO SPACs'!Q753</f>
        <v>50</v>
      </c>
      <c r="I752" s="97" t="str">
        <f>'Active and Pre-IPO SPACs'!K753</f>
        <v> </v>
      </c>
    </row>
    <row r="753">
      <c r="A753" s="103" t="str">
        <f>'Active and Pre-IPO SPACs'!A754</f>
        <v>VACI</v>
      </c>
      <c r="B753" s="95" t="str">
        <f>'Active and Pre-IPO SPACs'!B754</f>
        <v>Victory Acquisition Corp.</v>
      </c>
      <c r="C753" s="95" t="str">
        <f>'Active and Pre-IPO SPACs'!C754</f>
        <v>Pre IPO</v>
      </c>
      <c r="D753" s="101" t="str">
        <f>'Active and Pre-IPO SPACs'!D754</f>
        <v>Media, sports, and entertainment</v>
      </c>
      <c r="E753" s="96" t="str">
        <f>'Active and Pre-IPO SPACs'!E754</f>
        <v/>
      </c>
      <c r="F753" s="97" t="str">
        <f>'Active and Pre-IPO SPACs'!F754</f>
        <v>James Lites (Exec Chairman, Dallas Stars), Sammy Hagar (Frontman, Van Halen; Founder, Cabo Wabo Cantina &amp; Tequila), Roger Staubach (Pro Football Hall of Famer; Fmr Exec Chairman, JLL Americas)</v>
      </c>
      <c r="G753" s="98" t="str">
        <f>'Active and Pre-IPO SPACs'!P754</f>
        <v/>
      </c>
      <c r="H753" s="99">
        <f>'Active and Pre-IPO SPACs'!Q754</f>
        <v>250</v>
      </c>
      <c r="I753" s="97" t="str">
        <f>'Active and Pre-IPO SPACs'!K754</f>
        <v> </v>
      </c>
    </row>
    <row r="754">
      <c r="A754" s="78" t="str">
        <f>'Active and Pre-IPO SPACs'!A755</f>
        <v>VACQ</v>
      </c>
      <c r="B754" s="95" t="str">
        <f>'Active and Pre-IPO SPACs'!B755</f>
        <v>Vector Acquisition Corp</v>
      </c>
      <c r="C754" s="95" t="str">
        <f>'Active and Pre-IPO SPACs'!C755</f>
        <v>Definitive Agreement</v>
      </c>
      <c r="D754" s="91" t="str">
        <f>'Active and Pre-IPO SPACs'!D755</f>
        <v/>
      </c>
      <c r="E754" s="96" t="str">
        <f>'Active and Pre-IPO SPACs'!E755</f>
        <v>Rocket Lab [DA: 03/01/21]</v>
      </c>
      <c r="F754" s="97" t="str">
        <f>'Active and Pre-IPO SPACs'!F755</f>
        <v/>
      </c>
      <c r="G754" s="98">
        <f>'Active and Pre-IPO SPACs'!P755</f>
        <v>44098</v>
      </c>
      <c r="H754" s="99">
        <f>'Active and Pre-IPO SPACs'!Q755</f>
        <v>300</v>
      </c>
      <c r="I754" s="97">
        <f>'Active and Pre-IPO SPACs'!K755</f>
        <v>11.9</v>
      </c>
    </row>
    <row r="755">
      <c r="A755" s="103" t="str">
        <f>'Active and Pre-IPO SPACs'!A756</f>
        <v>VAQC</v>
      </c>
      <c r="B755" s="95" t="str">
        <f>'Active and Pre-IPO SPACs'!B756</f>
        <v>Vector Acquisition Corp II</v>
      </c>
      <c r="C755" s="95" t="str">
        <f>'Active and Pre-IPO SPACs'!C756</f>
        <v>Searching</v>
      </c>
      <c r="D755" s="101" t="str">
        <f>'Active and Pre-IPO SPACs'!D756</f>
        <v>Tech</v>
      </c>
      <c r="E755" s="96" t="str">
        <f>'Active and Pre-IPO SPACs'!E756</f>
        <v/>
      </c>
      <c r="F755" s="97" t="str">
        <f>'Active and Pre-IPO SPACs'!F756</f>
        <v/>
      </c>
      <c r="G755" s="98">
        <f>'Active and Pre-IPO SPACs'!P756</f>
        <v>44265</v>
      </c>
      <c r="H755" s="99">
        <f>'Active and Pre-IPO SPACs'!Q756</f>
        <v>450</v>
      </c>
      <c r="I755" s="97" t="str">
        <f>'Active and Pre-IPO SPACs'!K756</f>
        <v> </v>
      </c>
    </row>
    <row r="756">
      <c r="A756" s="103" t="str">
        <f>'Active and Pre-IPO SPACs'!A757</f>
        <v>VBAQ</v>
      </c>
      <c r="B756" s="95" t="str">
        <f>'Active and Pre-IPO SPACs'!B757</f>
        <v>Venice Brands Acquisition Corp. I</v>
      </c>
      <c r="C756" s="95" t="str">
        <f>'Active and Pre-IPO SPACs'!C757</f>
        <v>Pre IPO</v>
      </c>
      <c r="D756" s="91" t="str">
        <f>'Active and Pre-IPO SPACs'!D757</f>
        <v>Consumer</v>
      </c>
      <c r="E756" s="96" t="str">
        <f>'Active and Pre-IPO SPACs'!E757</f>
        <v/>
      </c>
      <c r="F756" s="97" t="str">
        <f>'Active and Pre-IPO SPACs'!F757</f>
        <v>Gregory Willsey (Founder of Venice Brands, Former CFO &amp; COO of POM Wonderful)</v>
      </c>
      <c r="G756" s="98" t="str">
        <f>'Active and Pre-IPO SPACs'!P757</f>
        <v/>
      </c>
      <c r="H756" s="99">
        <f>'Active and Pre-IPO SPACs'!Q757</f>
        <v>150</v>
      </c>
      <c r="I756" s="97" t="str">
        <f>'Active and Pre-IPO SPACs'!K757</f>
        <v> </v>
      </c>
    </row>
    <row r="757">
      <c r="A757" s="78" t="str">
        <f>'Active and Pre-IPO SPACs'!A758</f>
        <v>VCKA</v>
      </c>
      <c r="B757" s="95" t="str">
        <f>'Active and Pre-IPO SPACs'!B758</f>
        <v>Vickers Vantage Corp. I</v>
      </c>
      <c r="C757" s="95" t="str">
        <f>'Active and Pre-IPO SPACs'!C758</f>
        <v>Searching</v>
      </c>
      <c r="D757" s="91" t="str">
        <f>'Active and Pre-IPO SPACs'!D758</f>
        <v/>
      </c>
      <c r="E757" s="96" t="str">
        <f>'Active and Pre-IPO SPACs'!E758</f>
        <v/>
      </c>
      <c r="F757" s="97" t="str">
        <f>'Active and Pre-IPO SPACs'!F758</f>
        <v/>
      </c>
      <c r="G757" s="98">
        <f>'Active and Pre-IPO SPACs'!P758</f>
        <v>44202</v>
      </c>
      <c r="H757" s="99">
        <f>'Active and Pre-IPO SPACs'!Q758</f>
        <v>138</v>
      </c>
      <c r="I757" s="97">
        <f>'Active and Pre-IPO SPACs'!K758</f>
        <v>10.14</v>
      </c>
    </row>
    <row r="758">
      <c r="A758" s="78" t="str">
        <f>'Active and Pre-IPO SPACs'!A759</f>
        <v>VCVC</v>
      </c>
      <c r="B758" s="95" t="str">
        <f>'Active and Pre-IPO SPACs'!B759</f>
        <v>10X Capital Venture Acquisition Corp</v>
      </c>
      <c r="C758" s="95" t="str">
        <f>'Active and Pre-IPO SPACs'!C759</f>
        <v>Definitive Agreement</v>
      </c>
      <c r="D758" s="91" t="str">
        <f>'Active and Pre-IPO SPACs'!D759</f>
        <v>Tech</v>
      </c>
      <c r="E758" s="96" t="str">
        <f>'Active and Pre-IPO SPACs'!E759</f>
        <v>REE Automotive [DA: 02/03/21]</v>
      </c>
      <c r="F758" s="97" t="str">
        <f>'Active and Pre-IPO SPACs'!F759</f>
        <v>Hans Thomas (CEO, 10X Capital), David Weisburd (Co-founder, Growth Technology Partners), Woodrow Levin (Director, DraftKings)</v>
      </c>
      <c r="G758" s="98">
        <f>'Active and Pre-IPO SPACs'!P759</f>
        <v>44159</v>
      </c>
      <c r="H758" s="99">
        <f>'Active and Pre-IPO SPACs'!Q759</f>
        <v>201.25</v>
      </c>
      <c r="I758" s="97">
        <f>'Active and Pre-IPO SPACs'!K759</f>
        <v>10.79</v>
      </c>
    </row>
    <row r="759">
      <c r="A759" s="103" t="str">
        <f>'Active and Pre-IPO SPACs'!A760</f>
        <v>VCXA</v>
      </c>
      <c r="B759" s="95" t="str">
        <f>'Active and Pre-IPO SPACs'!B760</f>
        <v>10X Capital Venture Acquisition Corp. II</v>
      </c>
      <c r="C759" s="95" t="str">
        <f>'Active and Pre-IPO SPACs'!C760</f>
        <v>Pre IPO</v>
      </c>
      <c r="D759" s="91" t="str">
        <f>'Active and Pre-IPO SPACs'!D760</f>
        <v>Tech</v>
      </c>
      <c r="E759" s="96" t="str">
        <f>'Active and Pre-IPO SPACs'!E760</f>
        <v/>
      </c>
      <c r="F759" s="97" t="str">
        <f>'Active and Pre-IPO SPACs'!F760</f>
        <v>Hans Thomas (Founder &amp; CEO of 10X Capital), Woodrow Levin (Director at DraftKings)</v>
      </c>
      <c r="G759" s="98" t="str">
        <f>'Active and Pre-IPO SPACs'!P760</f>
        <v/>
      </c>
      <c r="H759" s="99">
        <f>'Active and Pre-IPO SPACs'!Q760</f>
        <v>200</v>
      </c>
      <c r="I759" s="97" t="str">
        <f>'Active and Pre-IPO SPACs'!K760</f>
        <v> </v>
      </c>
    </row>
    <row r="760">
      <c r="A760" s="103" t="str">
        <f>'Active and Pre-IPO SPACs'!A761</f>
        <v>VCXB</v>
      </c>
      <c r="B760" s="95" t="str">
        <f>'Active and Pre-IPO SPACs'!B761</f>
        <v>10X Capital Venture Acquisition Corp. III</v>
      </c>
      <c r="C760" s="95" t="str">
        <f>'Active and Pre-IPO SPACs'!C761</f>
        <v>Pre IPO</v>
      </c>
      <c r="D760" s="91" t="str">
        <f>'Active and Pre-IPO SPACs'!D761</f>
        <v>Tech</v>
      </c>
      <c r="E760" s="96" t="str">
        <f>'Active and Pre-IPO SPACs'!E761</f>
        <v/>
      </c>
      <c r="F760" s="97" t="str">
        <f>'Active and Pre-IPO SPACs'!F761</f>
        <v>Hans Thomas (Founder &amp; CEO of 10X Capital), Woodrow Levin (Director at DraftKings)</v>
      </c>
      <c r="G760" s="98" t="str">
        <f>'Active and Pre-IPO SPACs'!P761</f>
        <v/>
      </c>
      <c r="H760" s="99">
        <f>'Active and Pre-IPO SPACs'!Q761</f>
        <v>350</v>
      </c>
      <c r="I760" s="97" t="str">
        <f>'Active and Pre-IPO SPACs'!K761</f>
        <v> </v>
      </c>
    </row>
    <row r="761">
      <c r="A761" s="103" t="str">
        <f>'Active and Pre-IPO SPACs'!A762</f>
        <v>VELO</v>
      </c>
      <c r="B761" s="95" t="str">
        <f>'Active and Pre-IPO SPACs'!B762</f>
        <v>Velocity Acquisition Corp.</v>
      </c>
      <c r="C761" s="95" t="str">
        <f>'Active and Pre-IPO SPACs'!C762</f>
        <v>Searching (Pre Unit Split)</v>
      </c>
      <c r="D761" s="101" t="str">
        <f>'Active and Pre-IPO SPACs'!D762</f>
        <v>Tech, Digital Services and Platforms</v>
      </c>
      <c r="E761" s="96" t="str">
        <f>'Active and Pre-IPO SPACs'!E762</f>
        <v/>
      </c>
      <c r="F761" s="97" t="str">
        <f>'Active and Pre-IPO SPACs'!F762</f>
        <v/>
      </c>
      <c r="G761" s="98">
        <f>'Active and Pre-IPO SPACs'!P762</f>
        <v>44249</v>
      </c>
      <c r="H761" s="99">
        <f>'Active and Pre-IPO SPACs'!Q762</f>
        <v>230</v>
      </c>
      <c r="I761" s="97">
        <f>'Active and Pre-IPO SPACs'!K762</f>
        <v>10.05</v>
      </c>
    </row>
    <row r="762">
      <c r="A762" s="103" t="str">
        <f>'Active and Pre-IPO SPACs'!A763</f>
        <v>VEMC</v>
      </c>
      <c r="B762" s="95" t="str">
        <f>'Active and Pre-IPO SPACs'!B763</f>
        <v>Velocity Merger Corp.</v>
      </c>
      <c r="C762" s="95" t="str">
        <f>'Active and Pre-IPO SPACs'!C763</f>
        <v>Pre IPO</v>
      </c>
      <c r="D762" s="101" t="str">
        <f>'Active and Pre-IPO SPACs'!D763</f>
        <v>Fintech</v>
      </c>
      <c r="E762" s="96" t="str">
        <f>'Active and Pre-IPO SPACs'!E763</f>
        <v/>
      </c>
      <c r="F762" s="97" t="str">
        <f>'Active and Pre-IPO SPACs'!F763</f>
        <v>Mitchell Caplan (Former CEO &amp; Director of E*Trade and Former CEO &amp; Vice Chairman of Telebanc Financial), Lyndon Lea (Founder &amp; Managing Partner of Lion Capital), Jonathan Christodoro (Former Managing Director of Icahn Capital, Director of PayPal &amp; Xerox, and Former Director of eBay, Lyft, &amp; Herbalife), Laurence Greenberg (Former COO of Telebanc), Steve Lockshin (Founder of Lydian Wealth Management, Founder of AdvicePeriod, and Former Chairman of Convergent Wealth Advisors)</v>
      </c>
      <c r="G762" s="98" t="str">
        <f>'Active and Pre-IPO SPACs'!P763</f>
        <v/>
      </c>
      <c r="H762" s="99">
        <f>'Active and Pre-IPO SPACs'!Q763</f>
        <v>250</v>
      </c>
      <c r="I762" s="97" t="str">
        <f>'Active and Pre-IPO SPACs'!K763</f>
        <v> </v>
      </c>
    </row>
    <row r="763">
      <c r="A763" s="78" t="str">
        <f>'Active and Pre-IPO SPACs'!A764</f>
        <v>VENA</v>
      </c>
      <c r="B763" s="95" t="str">
        <f>'Active and Pre-IPO SPACs'!B764</f>
        <v>Venus Acquisition Corporation</v>
      </c>
      <c r="C763" s="95" t="str">
        <f>'Active and Pre-IPO SPACs'!C764</f>
        <v>Searching (Pre Unit Split)</v>
      </c>
      <c r="D763" s="91" t="str">
        <f>'Active and Pre-IPO SPACs'!D764</f>
        <v>Asia</v>
      </c>
      <c r="E763" s="96" t="str">
        <f>'Active and Pre-IPO SPACs'!E764</f>
        <v/>
      </c>
      <c r="F763" s="97" t="str">
        <f>'Active and Pre-IPO SPACs'!F764</f>
        <v/>
      </c>
      <c r="G763" s="98">
        <f>'Active and Pre-IPO SPACs'!P764</f>
        <v>44235</v>
      </c>
      <c r="H763" s="99">
        <f>'Active and Pre-IPO SPACs'!Q764</f>
        <v>46</v>
      </c>
      <c r="I763" s="97">
        <f>'Active and Pre-IPO SPACs'!K764</f>
        <v>10.03</v>
      </c>
    </row>
    <row r="764">
      <c r="A764" s="78" t="str">
        <f>'Active and Pre-IPO SPACs'!A765</f>
        <v>VGAC</v>
      </c>
      <c r="B764" s="95" t="str">
        <f>'Active and Pre-IPO SPACs'!B765</f>
        <v>VG Acquisition Corp</v>
      </c>
      <c r="C764" s="95" t="str">
        <f>'Active and Pre-IPO SPACs'!C765</f>
        <v>Definitive Agreement</v>
      </c>
      <c r="D764" s="91" t="str">
        <f>'Active and Pre-IPO SPACs'!D765</f>
        <v/>
      </c>
      <c r="E764" s="96" t="str">
        <f>'Active and Pre-IPO SPACs'!E765</f>
        <v>23andMe [DA: 02/04/21]</v>
      </c>
      <c r="F764" s="97" t="str">
        <f>'Active and Pre-IPO SPACs'!F765</f>
        <v>Sir Richard Branson, Josh Bayliss (CEO, Virgin Group), Evan Lovell (CIO, Virgin Group), Teresa Briggs (Director of Snowflake, Docusign, ServiceNow, JAND/Warby Parker)</v>
      </c>
      <c r="G764" s="98">
        <f>'Active and Pre-IPO SPACs'!P765</f>
        <v>44105</v>
      </c>
      <c r="H764" s="99">
        <f>'Active and Pre-IPO SPACs'!Q765</f>
        <v>508.55</v>
      </c>
      <c r="I764" s="97">
        <f>'Active and Pre-IPO SPACs'!K765</f>
        <v>10.59</v>
      </c>
    </row>
    <row r="765">
      <c r="A765" s="103" t="str">
        <f>'Active and Pre-IPO SPACs'!A766</f>
        <v>VGII</v>
      </c>
      <c r="B765" s="95" t="str">
        <f>'Active and Pre-IPO SPACs'!B766</f>
        <v>Virgin Group Acquisition Corp. II</v>
      </c>
      <c r="C765" s="95" t="str">
        <f>'Active and Pre-IPO SPACs'!C766</f>
        <v>Searching (Pre Unit Split)</v>
      </c>
      <c r="D765" s="91" t="str">
        <f>'Active and Pre-IPO SPACs'!D766</f>
        <v>Consumer</v>
      </c>
      <c r="E765" s="96" t="str">
        <f>'Active and Pre-IPO SPACs'!E766</f>
        <v/>
      </c>
      <c r="F765" s="97" t="str">
        <f>'Active and Pre-IPO SPACs'!F766</f>
        <v>Sir Richard Branson, Josh Bayliss (CEO, the Virgin Group)</v>
      </c>
      <c r="G765" s="98">
        <f>'Active and Pre-IPO SPACs'!P766</f>
        <v>44277</v>
      </c>
      <c r="H765" s="99">
        <f>'Active and Pre-IPO SPACs'!Q766</f>
        <v>350</v>
      </c>
      <c r="I765" s="97">
        <f>'Active and Pre-IPO SPACs'!K766</f>
        <v>10.02</v>
      </c>
    </row>
    <row r="766">
      <c r="A766" s="78" t="str">
        <f>'Active and Pre-IPO SPACs'!A767</f>
        <v>VHAQ</v>
      </c>
      <c r="B766" s="95" t="str">
        <f>'Active and Pre-IPO SPACs'!B767</f>
        <v>Viveon Health Acquisition Corp.</v>
      </c>
      <c r="C766" s="95" t="str">
        <f>'Active and Pre-IPO SPACs'!C767</f>
        <v>Searching</v>
      </c>
      <c r="D766" s="91" t="str">
        <f>'Active and Pre-IPO SPACs'!D767</f>
        <v>Healthcare</v>
      </c>
      <c r="E766" s="96" t="str">
        <f>'Active and Pre-IPO SPACs'!E767</f>
        <v/>
      </c>
      <c r="F766" s="97" t="str">
        <f>'Active and Pre-IPO SPACs'!F767</f>
        <v/>
      </c>
      <c r="G766" s="98">
        <f>'Active and Pre-IPO SPACs'!P767</f>
        <v>44188</v>
      </c>
      <c r="H766" s="99">
        <f>'Active and Pre-IPO SPACs'!Q767</f>
        <v>203.2625</v>
      </c>
      <c r="I766" s="97">
        <f>'Active and Pre-IPO SPACs'!K767</f>
        <v>10.51</v>
      </c>
    </row>
    <row r="767">
      <c r="A767" s="78" t="str">
        <f>'Active and Pre-IPO SPACs'!A768</f>
        <v>VIH</v>
      </c>
      <c r="B767" s="95" t="str">
        <f>'Active and Pre-IPO SPACs'!B768</f>
        <v>VPC Impact Acquisition Holdings</v>
      </c>
      <c r="C767" s="95" t="str">
        <f>'Active and Pre-IPO SPACs'!C768</f>
        <v>Definitive Agreement</v>
      </c>
      <c r="D767" s="91" t="str">
        <f>'Active and Pre-IPO SPACs'!D768</f>
        <v>Fintech</v>
      </c>
      <c r="E767" s="96" t="str">
        <f>'Active and Pre-IPO SPACs'!E768</f>
        <v>Bakkt [DA: 01/11/21]</v>
      </c>
      <c r="F767" s="97" t="str">
        <f>'Active and Pre-IPO SPACs'!F768</f>
        <v/>
      </c>
      <c r="G767" s="98">
        <f>'Active and Pre-IPO SPACs'!P768</f>
        <v>44096</v>
      </c>
      <c r="H767" s="99">
        <f>'Active and Pre-IPO SPACs'!Q768</f>
        <v>200</v>
      </c>
      <c r="I767" s="97" t="str">
        <f>'Active and Pre-IPO SPACs'!K768</f>
        <v> </v>
      </c>
    </row>
    <row r="768">
      <c r="A768" s="78" t="str">
        <f>'Active and Pre-IPO SPACs'!A769</f>
        <v>VII</v>
      </c>
      <c r="B768" s="95" t="str">
        <f>'Active and Pre-IPO SPACs'!B769</f>
        <v>7GC &amp; Co. Holdings Inc.</v>
      </c>
      <c r="C768" s="95" t="str">
        <f>'Active and Pre-IPO SPACs'!C769</f>
        <v>Searching</v>
      </c>
      <c r="D768" s="91" t="str">
        <f>'Active and Pre-IPO SPACs'!D769</f>
        <v>Tech</v>
      </c>
      <c r="E768" s="96" t="str">
        <f>'Active and Pre-IPO SPACs'!E769</f>
        <v>[In talks (unconfirmed) with Vice Media: Per The Information 3/31/21]</v>
      </c>
      <c r="F768" s="97" t="str">
        <f>'Active and Pre-IPO SPACs'!F769</f>
        <v>Jack Leeney (Founding Partner, 7GC), Thomas Hennessy (Co-CEO, PTAC), Patrick Eggen (Founding Partner, Counterpart Ventures)</v>
      </c>
      <c r="G768" s="98">
        <f>'Active and Pre-IPO SPACs'!P769</f>
        <v>44187</v>
      </c>
      <c r="H768" s="99">
        <f>'Active and Pre-IPO SPACs'!Q769</f>
        <v>230</v>
      </c>
      <c r="I768" s="97" t="str">
        <f>'Active and Pre-IPO SPACs'!K769</f>
        <v> </v>
      </c>
    </row>
    <row r="769">
      <c r="A769" s="103" t="str">
        <f>'Active and Pre-IPO SPACs'!A770</f>
        <v>VIII</v>
      </c>
      <c r="B769" s="95" t="str">
        <f>'Active and Pre-IPO SPACs'!B770</f>
        <v>Virgin Group Acquisition Corp. III</v>
      </c>
      <c r="C769" s="95" t="str">
        <f>'Active and Pre-IPO SPACs'!C770</f>
        <v>Pre IPO</v>
      </c>
      <c r="D769" s="91" t="str">
        <f>'Active and Pre-IPO SPACs'!D770</f>
        <v>Consumer</v>
      </c>
      <c r="E769" s="96" t="str">
        <f>'Active and Pre-IPO SPACs'!E770</f>
        <v/>
      </c>
      <c r="F769" s="97" t="str">
        <f>'Active and Pre-IPO SPACs'!F770</f>
        <v>Sir Richard Branson (Founder, the Virgin Group), Josh Bayliss (CEO, the Virgin Group), Evan Lovell (CIO, the Virgin Group)</v>
      </c>
      <c r="G769" s="98" t="str">
        <f>'Active and Pre-IPO SPACs'!P770</f>
        <v/>
      </c>
      <c r="H769" s="99">
        <f>'Active and Pre-IPO SPACs'!Q770</f>
        <v>500</v>
      </c>
      <c r="I769" s="97" t="str">
        <f>'Active and Pre-IPO SPACs'!K770</f>
        <v> </v>
      </c>
    </row>
    <row r="770">
      <c r="A770" s="103" t="str">
        <f>'Active and Pre-IPO SPACs'!A771</f>
        <v>VLAT</v>
      </c>
      <c r="B770" s="95" t="str">
        <f>'Active and Pre-IPO SPACs'!B771</f>
        <v>Valor Latitude Acquisition Corp.</v>
      </c>
      <c r="C770" s="95" t="str">
        <f>'Active and Pre-IPO SPACs'!C771</f>
        <v>Pre IPO</v>
      </c>
      <c r="D770" s="101" t="str">
        <f>'Active and Pre-IPO SPACs'!D771</f>
        <v>Tech in Latin America</v>
      </c>
      <c r="E770" s="96" t="str">
        <f>'Active and Pre-IPO SPACs'!E771</f>
        <v/>
      </c>
      <c r="F770" s="97" t="str">
        <f>'Active and Pre-IPO SPACs'!F771</f>
        <v/>
      </c>
      <c r="G770" s="98" t="str">
        <f>'Active and Pre-IPO SPACs'!P771</f>
        <v/>
      </c>
      <c r="H770" s="99">
        <f>'Active and Pre-IPO SPACs'!Q771</f>
        <v>200</v>
      </c>
      <c r="I770" s="97" t="str">
        <f>'Active and Pre-IPO SPACs'!K771</f>
        <v> </v>
      </c>
    </row>
    <row r="771">
      <c r="A771" s="78" t="str">
        <f>'Active and Pre-IPO SPACs'!A772</f>
        <v>VMAC</v>
      </c>
      <c r="B771" s="95" t="str">
        <f>'Active and Pre-IPO SPACs'!B772</f>
        <v>Vistas Media Acquisition Company Inc.</v>
      </c>
      <c r="C771" s="95" t="str">
        <f>'Active and Pre-IPO SPACs'!C772</f>
        <v>Definitive Agreement</v>
      </c>
      <c r="D771" s="91" t="str">
        <f>'Active and Pre-IPO SPACs'!D772</f>
        <v>Media, Entertainment</v>
      </c>
      <c r="E771" s="96" t="str">
        <f>'Active and Pre-IPO SPACs'!E772</f>
        <v>Anghami [DA: 03/03/21]</v>
      </c>
      <c r="F771" s="97" t="str">
        <f>'Active and Pre-IPO SPACs'!F772</f>
        <v/>
      </c>
      <c r="G771" s="98">
        <f>'Active and Pre-IPO SPACs'!P772</f>
        <v>44050</v>
      </c>
      <c r="H771" s="99">
        <f>'Active and Pre-IPO SPACs'!Q772</f>
        <v>100</v>
      </c>
      <c r="I771" s="97">
        <f>'Active and Pre-IPO SPACs'!K772</f>
        <v>10.31</v>
      </c>
    </row>
    <row r="772">
      <c r="A772" s="78" t="str">
        <f>'Active and Pre-IPO SPACs'!A773</f>
        <v>VOSO</v>
      </c>
      <c r="B772" s="95" t="str">
        <f>'Active and Pre-IPO SPACs'!B773</f>
        <v>Virtuoso Acquisition Corp.</v>
      </c>
      <c r="C772" s="95" t="str">
        <f>'Active and Pre-IPO SPACs'!C773</f>
        <v>Searching</v>
      </c>
      <c r="D772" s="91" t="str">
        <f>'Active and Pre-IPO SPACs'!D773</f>
        <v>Media: Digital Marketing, Digital Platforms, Subscription, AdTech</v>
      </c>
      <c r="E772" s="96" t="str">
        <f>'Active and Pre-IPO SPACs'!E773</f>
        <v/>
      </c>
      <c r="F772" s="97" t="str">
        <f>'Active and Pre-IPO SPACs'!F773</f>
        <v>Jeff Warshaw (Founder, Connoisseur Communications Partners), Alan Masarek (Fmr CEO, Vonage)</v>
      </c>
      <c r="G772" s="98">
        <f>'Active and Pre-IPO SPACs'!P773</f>
        <v>44217</v>
      </c>
      <c r="H772" s="99">
        <f>'Active and Pre-IPO SPACs'!Q773</f>
        <v>230</v>
      </c>
      <c r="I772" s="97">
        <f>'Active and Pre-IPO SPACs'!K773</f>
        <v>10.09</v>
      </c>
    </row>
    <row r="773">
      <c r="A773" s="78" t="str">
        <f>'Active and Pre-IPO SPACs'!A774</f>
        <v>VPCB</v>
      </c>
      <c r="B773" s="95" t="str">
        <f>'Active and Pre-IPO SPACs'!B774</f>
        <v>VPC Impact Acquisition Holdings II</v>
      </c>
      <c r="C773" s="95" t="str">
        <f>'Active and Pre-IPO SPACs'!C774</f>
        <v>Searching (Pre Unit Split)</v>
      </c>
      <c r="D773" s="91" t="str">
        <f>'Active and Pre-IPO SPACs'!D774</f>
        <v>Fintech, Outside of the US</v>
      </c>
      <c r="E773" s="96" t="str">
        <f>'Active and Pre-IPO SPACs'!E774</f>
        <v/>
      </c>
      <c r="F773" s="97" t="str">
        <f>'Active and Pre-IPO SPACs'!F774</f>
        <v>Senator Joe Lieberman</v>
      </c>
      <c r="G773" s="98">
        <f>'Active and Pre-IPO SPACs'!P774</f>
        <v>44259</v>
      </c>
      <c r="H773" s="99">
        <f>'Active and Pre-IPO SPACs'!Q774</f>
        <v>225</v>
      </c>
      <c r="I773" s="97">
        <f>'Active and Pre-IPO SPACs'!K774</f>
        <v>10.04</v>
      </c>
    </row>
    <row r="774">
      <c r="A774" s="78" t="str">
        <f>'Active and Pre-IPO SPACs'!A775</f>
        <v>VPCC</v>
      </c>
      <c r="B774" s="95" t="str">
        <f>'Active and Pre-IPO SPACs'!B775</f>
        <v>VPC Impact Acquisition Holdings III, Inc.</v>
      </c>
      <c r="C774" s="95" t="str">
        <f>'Active and Pre-IPO SPACs'!C775</f>
        <v>Searching (Pre Unit Split)</v>
      </c>
      <c r="D774" s="91" t="str">
        <f>'Active and Pre-IPO SPACs'!D775</f>
        <v>Fintech (US)</v>
      </c>
      <c r="E774" s="96" t="str">
        <f>'Active and Pre-IPO SPACs'!E775</f>
        <v/>
      </c>
      <c r="F774" s="97" t="str">
        <f>'Active and Pre-IPO SPACs'!F775</f>
        <v/>
      </c>
      <c r="G774" s="98">
        <f>'Active and Pre-IPO SPACs'!P775</f>
        <v>44259</v>
      </c>
      <c r="H774" s="99">
        <f>'Active and Pre-IPO SPACs'!Q775</f>
        <v>253.76598</v>
      </c>
      <c r="I774" s="97">
        <f>'Active and Pre-IPO SPACs'!K775</f>
        <v>10.05</v>
      </c>
    </row>
    <row r="775">
      <c r="A775" s="78" t="str">
        <f>'Active and Pre-IPO SPACs'!A776</f>
        <v>VSPR</v>
      </c>
      <c r="B775" s="95" t="str">
        <f>'Active and Pre-IPO SPACs'!B776</f>
        <v>Vesper Healthcare Acquisition Corp.</v>
      </c>
      <c r="C775" s="95" t="str">
        <f>'Active and Pre-IPO SPACs'!C776</f>
        <v>Definitive Agreement</v>
      </c>
      <c r="D775" s="91" t="str">
        <f>'Active and Pre-IPO SPACs'!D776</f>
        <v>Pharmaceuticals, Healthcare</v>
      </c>
      <c r="E775" s="96" t="str">
        <f>'Active and Pre-IPO SPACs'!E776</f>
        <v>HydraFacial [DA: 12/09/20]</v>
      </c>
      <c r="F775" s="97" t="str">
        <f>'Active and Pre-IPO SPACs'!F776</f>
        <v>Brenton Saunders (Fmr CEO, Allergan; Fmr CEO, Bausch + Lomb), Michael Capellas (Fmr CEO, First Data; Fmr CEO, Compaq; Board Director, Cisco), Barry Sternlicht (CEO, Starwood Capital)</v>
      </c>
      <c r="G775" s="98">
        <f>'Active and Pre-IPO SPACs'!P776</f>
        <v>44103</v>
      </c>
      <c r="H775" s="99">
        <f>'Active and Pre-IPO SPACs'!Q776</f>
        <v>460</v>
      </c>
      <c r="I775" s="97">
        <f>'Active and Pre-IPO SPACs'!K776</f>
        <v>11.72</v>
      </c>
    </row>
    <row r="776">
      <c r="A776" s="78" t="str">
        <f>'Active and Pre-IPO SPACs'!A777</f>
        <v>VTAQ</v>
      </c>
      <c r="B776" s="95" t="str">
        <f>'Active and Pre-IPO SPACs'!B777</f>
        <v>Ventoux CCM Acquisition Corp</v>
      </c>
      <c r="C776" s="95" t="str">
        <f>'Active and Pre-IPO SPACs'!C777</f>
        <v>Searching</v>
      </c>
      <c r="D776" s="91" t="str">
        <f>'Active and Pre-IPO SPACs'!D777</f>
        <v>Hospitality, Leisure, Travel and Dining (emphasis on Consumer Branded)</v>
      </c>
      <c r="E776" s="96" t="str">
        <f>'Active and Pre-IPO SPACs'!E777</f>
        <v/>
      </c>
      <c r="F776" s="97" t="str">
        <f>'Active and Pre-IPO SPACs'!F777</f>
        <v>Edward Scheetz (Fmr CEO, Chelsea Hotels), Woody Wilson (Director, DraftKings</v>
      </c>
      <c r="G776" s="98">
        <f>'Active and Pre-IPO SPACs'!P777</f>
        <v>44188</v>
      </c>
      <c r="H776" s="99">
        <f>'Active and Pre-IPO SPACs'!Q777</f>
        <v>151.5</v>
      </c>
      <c r="I776" s="97">
        <f>'Active and Pre-IPO SPACs'!K777</f>
        <v>10.6293</v>
      </c>
    </row>
    <row r="777">
      <c r="A777" s="78" t="str">
        <f>'Active and Pre-IPO SPACs'!A778</f>
        <v>VTIQ</v>
      </c>
      <c r="B777" s="95" t="str">
        <f>'Active and Pre-IPO SPACs'!B778</f>
        <v>VectoIQ Acquisition Corp. II</v>
      </c>
      <c r="C777" s="95" t="str">
        <f>'Active and Pre-IPO SPACs'!C778</f>
        <v>Searching</v>
      </c>
      <c r="D777" s="91" t="str">
        <f>'Active and Pre-IPO SPACs'!D778</f>
        <v>Industrial Tech, Transportation, Smart Mobility</v>
      </c>
      <c r="E777" s="96" t="str">
        <f>'Active and Pre-IPO SPACs'!E778</f>
        <v/>
      </c>
      <c r="F777" s="97" t="str">
        <f>'Active and Pre-IPO SPACs'!F778</f>
        <v>Stephen Girsky (MP, VectoIQ; Chairman, Nikola; Fmr Vice Chairman, General Motors); Daniel Akerson (Fmr Chairman/CEO, General Motors; Fmr Vice Chairman, Carlyle Group); Stefan Jacoby (Fmr CEO, Volvo; Fmr Exec VP, General Motors</v>
      </c>
      <c r="G777" s="98">
        <f>'Active and Pre-IPO SPACs'!P778</f>
        <v>44202</v>
      </c>
      <c r="H777" s="99">
        <f>'Active and Pre-IPO SPACs'!Q778</f>
        <v>345</v>
      </c>
      <c r="I777" s="97">
        <f>'Active and Pre-IPO SPACs'!K778</f>
        <v>10.3</v>
      </c>
    </row>
    <row r="778">
      <c r="A778" s="78" t="str">
        <f>'Active and Pre-IPO SPACs'!A779</f>
        <v>VYGG</v>
      </c>
      <c r="B778" s="95" t="str">
        <f>'Active and Pre-IPO SPACs'!B779</f>
        <v>Vy Global Growth</v>
      </c>
      <c r="C778" s="95" t="str">
        <f>'Active and Pre-IPO SPACs'!C779</f>
        <v>Searching</v>
      </c>
      <c r="D778" s="91" t="str">
        <f>'Active and Pre-IPO SPACs'!D779</f>
        <v>Tech</v>
      </c>
      <c r="E778" s="96" t="str">
        <f>'Active and Pre-IPO SPACs'!E779</f>
        <v/>
      </c>
      <c r="F778" s="97" t="str">
        <f>'Active and Pre-IPO SPACs'!F779</f>
        <v>John Hering (Co-founder, Lookout), Alexander Tamas (Founder, Vy Capital), Steve Huffman (Co-Founder/CEO, Reddit), Justin Kan (Co-founder, Twitch)</v>
      </c>
      <c r="G778" s="98">
        <f>'Active and Pre-IPO SPACs'!P779</f>
        <v>44106</v>
      </c>
      <c r="H778" s="99">
        <f>'Active and Pre-IPO SPACs'!Q779</f>
        <v>575</v>
      </c>
      <c r="I778" s="97">
        <f>'Active and Pre-IPO SPACs'!K779</f>
        <v>10.63</v>
      </c>
    </row>
    <row r="779">
      <c r="A779" s="103" t="str">
        <f>'Active and Pre-IPO SPACs'!A780</f>
        <v>WALD</v>
      </c>
      <c r="B779" s="95" t="str">
        <f>'Active and Pre-IPO SPACs'!B780</f>
        <v>Waldencast Acquisition Corp.</v>
      </c>
      <c r="C779" s="95" t="str">
        <f>'Active and Pre-IPO SPACs'!C780</f>
        <v>Searching (Pre Unit Split)</v>
      </c>
      <c r="D779" s="101" t="str">
        <f>'Active and Pre-IPO SPACs'!D780</f>
        <v>Beauty, Personal Care, Wellness</v>
      </c>
      <c r="E779" s="96" t="str">
        <f>'Active and Pre-IPO SPACs'!E780</f>
        <v/>
      </c>
      <c r="F779" s="97" t="str">
        <f>'Active and Pre-IPO SPACs'!F780</f>
        <v>Felipe Dutra (Former CFO of Anheuser-Busch InBev)</v>
      </c>
      <c r="G779" s="98">
        <f>'Active and Pre-IPO SPACs'!P780</f>
        <v>44270</v>
      </c>
      <c r="H779" s="99">
        <f>'Active and Pre-IPO SPACs'!Q780</f>
        <v>345</v>
      </c>
      <c r="I779" s="97">
        <f>'Active and Pre-IPO SPACs'!K780</f>
        <v>10.1</v>
      </c>
    </row>
    <row r="780">
      <c r="A780" s="103" t="str">
        <f>'Active and Pre-IPO SPACs'!A781</f>
        <v>WARR</v>
      </c>
      <c r="B780" s="95" t="str">
        <f>'Active and Pre-IPO SPACs'!B781</f>
        <v>Warrior Technologies Acquisition Co</v>
      </c>
      <c r="C780" s="95" t="str">
        <f>'Active and Pre-IPO SPACs'!C781</f>
        <v>Searching (Pre Unit Split)</v>
      </c>
      <c r="D780" s="91" t="str">
        <f>'Active and Pre-IPO SPACs'!D781</f>
        <v>Environmental Services (with strong ESG)</v>
      </c>
      <c r="E780" s="96" t="str">
        <f>'Active and Pre-IPO SPACs'!E781</f>
        <v/>
      </c>
      <c r="F780" s="97" t="str">
        <f>'Active and Pre-IPO SPACs'!F781</f>
        <v/>
      </c>
      <c r="G780" s="98">
        <f>'Active and Pre-IPO SPACs'!P781</f>
        <v>44252</v>
      </c>
      <c r="H780" s="99">
        <f>'Active and Pre-IPO SPACs'!Q781</f>
        <v>276</v>
      </c>
      <c r="I780" s="97">
        <f>'Active and Pre-IPO SPACs'!K781</f>
        <v>10.01</v>
      </c>
    </row>
    <row r="781">
      <c r="A781" s="103" t="str">
        <f>'Active and Pre-IPO SPACs'!A782</f>
        <v>WAVC</v>
      </c>
      <c r="B781" s="95" t="str">
        <f>'Active and Pre-IPO SPACs'!B782</f>
        <v>Waverley Capital Acquisition Corp. 1</v>
      </c>
      <c r="C781" s="95" t="str">
        <f>'Active and Pre-IPO SPACs'!C782</f>
        <v>Pre IPO</v>
      </c>
      <c r="D781" s="91" t="str">
        <f>'Active and Pre-IPO SPACs'!D782</f>
        <v>Media, Technology, Entertainment</v>
      </c>
      <c r="E781" s="96" t="str">
        <f>'Active and Pre-IPO SPACs'!E782</f>
        <v/>
      </c>
      <c r="F781" s="97" t="str">
        <f>'Active and Pre-IPO SPACs'!F782</f>
        <v>Edgar Bronfman Jr. (Former Chairman and CEO of Warner Music Group, Executive Chairman of fuboTV), Daniel Leff (Co-Founder and Managing Partner of Waverley, Director of fuboTV, and Former Director of Roku), David Gandler (Co-founder &amp; CEO of fuboTV), Jeff Bewkes (Former Chairman &amp; CEO of Time Warner and Former Chairman &amp; CEO of HBO)</v>
      </c>
      <c r="G781" s="98" t="str">
        <f>'Active and Pre-IPO SPACs'!P782</f>
        <v/>
      </c>
      <c r="H781" s="99">
        <f>'Active and Pre-IPO SPACs'!Q782</f>
        <v>300</v>
      </c>
      <c r="I781" s="97" t="str">
        <f>'Active and Pre-IPO SPACs'!K782</f>
        <v> </v>
      </c>
    </row>
    <row r="782">
      <c r="A782" s="103" t="str">
        <f>'Active and Pre-IPO SPACs'!A783</f>
        <v>WCAT</v>
      </c>
      <c r="B782" s="95" t="str">
        <f>'Active and Pre-IPO SPACs'!B783</f>
        <v>Jaws Wildcat Acquisition Corp</v>
      </c>
      <c r="C782" s="95" t="str">
        <f>'Active and Pre-IPO SPACs'!C783</f>
        <v>Pre IPO</v>
      </c>
      <c r="D782" s="101" t="str">
        <f>'Active and Pre-IPO SPACs'!D783</f>
        <v>Consumer Tech</v>
      </c>
      <c r="E782" s="96" t="str">
        <f>'Active and Pre-IPO SPACs'!E783</f>
        <v/>
      </c>
      <c r="F782" s="97" t="str">
        <f>'Active and Pre-IPO SPACs'!F783</f>
        <v>Barry Sternlicht (Chairman and CEO of Starwood Capital)</v>
      </c>
      <c r="G782" s="98" t="str">
        <f>'Active and Pre-IPO SPACs'!P783</f>
        <v/>
      </c>
      <c r="H782" s="99">
        <f>'Active and Pre-IPO SPACs'!Q783</f>
        <v>250</v>
      </c>
      <c r="I782" s="97" t="str">
        <f>'Active and Pre-IPO SPACs'!K783</f>
        <v> </v>
      </c>
    </row>
    <row r="783">
      <c r="A783" s="103" t="str">
        <f>'Active and Pre-IPO SPACs'!A784</f>
        <v>WNNR</v>
      </c>
      <c r="B783" s="95" t="str">
        <f>'Active and Pre-IPO SPACs'!B784</f>
        <v>Andretti Acquisition Corp.</v>
      </c>
      <c r="C783" s="95" t="str">
        <f>'Active and Pre-IPO SPACs'!C784</f>
        <v>Pre IPO</v>
      </c>
      <c r="D783" s="91" t="str">
        <f>'Active and Pre-IPO SPACs'!D784</f>
        <v>Automotive sector including advanced mobility and related next-generation tech</v>
      </c>
      <c r="E783" s="96" t="str">
        <f>'Active and Pre-IPO SPACs'!E784</f>
        <v/>
      </c>
      <c r="F783" s="97" t="str">
        <f>'Active and Pre-IPO SPACs'!F784</f>
        <v>Michael Andretti (Racecar driver and Owner of Andretti Autosport), Zak Brown (CEO of McLaren Racing), Jim Keyes (Former CEO of Blockbuster and Former CEO of 7-Eleven), Jerry Putnam (Former CO-COO of NYSE Euronext, Former Co-COO of NYSE Group, and Founder &amp; Former CEO of Archipelago Holdings), Mario Andretti (Former Racecar driver)</v>
      </c>
      <c r="G783" s="98" t="str">
        <f>'Active and Pre-IPO SPACs'!P784</f>
        <v/>
      </c>
      <c r="H783" s="99">
        <f>'Active and Pre-IPO SPACs'!Q784</f>
        <v>250</v>
      </c>
      <c r="I783" s="97" t="str">
        <f>'Active and Pre-IPO SPACs'!K784</f>
        <v> </v>
      </c>
    </row>
    <row r="784">
      <c r="A784" s="103" t="str">
        <f>'Active and Pre-IPO SPACs'!A785</f>
        <v>WPCA</v>
      </c>
      <c r="B784" s="95" t="str">
        <f>'Active and Pre-IPO SPACs'!B785</f>
        <v>Warburg Pincus Capital Corp I-A</v>
      </c>
      <c r="C784" s="95" t="str">
        <f>'Active and Pre-IPO SPACs'!C785</f>
        <v>Searching (Pre Unit Split)</v>
      </c>
      <c r="D784" s="91" t="str">
        <f>'Active and Pre-IPO SPACs'!D785</f>
        <v/>
      </c>
      <c r="E784" s="96" t="str">
        <f>'Active and Pre-IPO SPACs'!E785</f>
        <v/>
      </c>
      <c r="F784" s="97" t="str">
        <f>'Active and Pre-IPO SPACs'!F785</f>
        <v>Warburg Pincus</v>
      </c>
      <c r="G784" s="98">
        <f>'Active and Pre-IPO SPACs'!P785</f>
        <v>44259</v>
      </c>
      <c r="H784" s="99">
        <f>'Active and Pre-IPO SPACs'!Q785</f>
        <v>250</v>
      </c>
      <c r="I784" s="97">
        <f>'Active and Pre-IPO SPACs'!K785</f>
        <v>10.29</v>
      </c>
    </row>
    <row r="785">
      <c r="A785" s="103" t="str">
        <f>'Active and Pre-IPO SPACs'!A786</f>
        <v>WPCB</v>
      </c>
      <c r="B785" s="95" t="str">
        <f>'Active and Pre-IPO SPACs'!B786</f>
        <v>Warburg Pincus Capital Corp I-B</v>
      </c>
      <c r="C785" s="95" t="str">
        <f>'Active and Pre-IPO SPACs'!C786</f>
        <v>Searching (Pre Unit Split)</v>
      </c>
      <c r="D785" s="91" t="str">
        <f>'Active and Pre-IPO SPACs'!D786</f>
        <v/>
      </c>
      <c r="E785" s="96" t="str">
        <f>'Active and Pre-IPO SPACs'!E786</f>
        <v/>
      </c>
      <c r="F785" s="97" t="str">
        <f>'Active and Pre-IPO SPACs'!F786</f>
        <v>Warburg Pincus</v>
      </c>
      <c r="G785" s="98">
        <f>'Active and Pre-IPO SPACs'!P786</f>
        <v>44259</v>
      </c>
      <c r="H785" s="99">
        <f>'Active and Pre-IPO SPACs'!Q786</f>
        <v>548.75</v>
      </c>
      <c r="I785" s="97">
        <f>'Active and Pre-IPO SPACs'!K786</f>
        <v>10.08</v>
      </c>
    </row>
    <row r="786">
      <c r="A786" s="78" t="str">
        <f>'Active and Pre-IPO SPACs'!A787</f>
        <v>WPF</v>
      </c>
      <c r="B786" s="95" t="str">
        <f>'Active and Pre-IPO SPACs'!B787</f>
        <v>Foley Trasimene Acquisition Corp</v>
      </c>
      <c r="C786" s="95" t="str">
        <f>'Active and Pre-IPO SPACs'!C787</f>
        <v>Definitive Agreement</v>
      </c>
      <c r="D786" s="91" t="str">
        <f>'Active and Pre-IPO SPACs'!D787</f>
        <v>Fintech</v>
      </c>
      <c r="E786" s="96" t="str">
        <f>'Active and Pre-IPO SPACs'!E787</f>
        <v>Alight [DA: 01/25/21]</v>
      </c>
      <c r="F786" s="97" t="str">
        <f>'Active and Pre-IPO SPACs'!F787</f>
        <v>Bill Foley (Chairman of Fidelity National Financial and Black Knight; Owner of NHL Team: Vegas Golden Knights)</v>
      </c>
      <c r="G786" s="98">
        <f>'Active and Pre-IPO SPACs'!P787</f>
        <v>43978</v>
      </c>
      <c r="H786" s="99">
        <f>'Active and Pre-IPO SPACs'!Q787</f>
        <v>1035</v>
      </c>
      <c r="I786" s="97">
        <f>'Active and Pre-IPO SPACs'!K787</f>
        <v>10.6</v>
      </c>
    </row>
    <row r="787">
      <c r="A787" s="103" t="str">
        <f>'Active and Pre-IPO SPACs'!A788</f>
        <v>XLSA</v>
      </c>
      <c r="B787" s="95" t="str">
        <f>'Active and Pre-IPO SPACs'!B788</f>
        <v>Excelsa Acquisition Corp.</v>
      </c>
      <c r="C787" s="95" t="str">
        <f>'Active and Pre-IPO SPACs'!C788</f>
        <v>Pre IPO</v>
      </c>
      <c r="D787" s="91" t="str">
        <f>'Active and Pre-IPO SPACs'!D788</f>
        <v>Latin America</v>
      </c>
      <c r="E787" s="96" t="str">
        <f>'Active and Pre-IPO SPACs'!E788</f>
        <v/>
      </c>
      <c r="F787" s="97" t="str">
        <f>'Active and Pre-IPO SPACs'!F788</f>
        <v/>
      </c>
      <c r="G787" s="98" t="str">
        <f>'Active and Pre-IPO SPACs'!P788</f>
        <v/>
      </c>
      <c r="H787" s="99">
        <f>'Active and Pre-IPO SPACs'!Q788</f>
        <v>250</v>
      </c>
      <c r="I787" s="97" t="str">
        <f>'Active and Pre-IPO SPACs'!K788</f>
        <v> </v>
      </c>
    </row>
    <row r="788">
      <c r="A788" s="78" t="str">
        <f>'Active and Pre-IPO SPACs'!A789</f>
        <v>XPDI</v>
      </c>
      <c r="B788" s="95" t="str">
        <f>'Active and Pre-IPO SPACs'!B789</f>
        <v>Power &amp; Digital Infrastructure Acquisition Corp.</v>
      </c>
      <c r="C788" s="95" t="str">
        <f>'Active and Pre-IPO SPACs'!C789</f>
        <v>Searching</v>
      </c>
      <c r="D788" s="91" t="str">
        <f>'Active and Pre-IPO SPACs'!D789</f>
        <v>Electrical Power Grid Transition, Energy Transition, Sustainability</v>
      </c>
      <c r="E788" s="96" t="str">
        <f>'Active and Pre-IPO SPACs'!E789</f>
        <v/>
      </c>
      <c r="F788" s="97" t="str">
        <f>'Active and Pre-IPO SPACs'!F789</f>
        <v/>
      </c>
      <c r="G788" s="98">
        <f>'Active and Pre-IPO SPACs'!P789</f>
        <v>44236</v>
      </c>
      <c r="H788" s="99">
        <f>'Active and Pre-IPO SPACs'!Q789</f>
        <v>345</v>
      </c>
      <c r="I788" s="97">
        <f>'Active and Pre-IPO SPACs'!K789</f>
        <v>10.33</v>
      </c>
    </row>
    <row r="789">
      <c r="A789" s="78" t="str">
        <f>'Active and Pre-IPO SPACs'!A790</f>
        <v>XPOA</v>
      </c>
      <c r="B789" s="95" t="str">
        <f>'Active and Pre-IPO SPACs'!B790</f>
        <v>DPCM Capital, Inc.</v>
      </c>
      <c r="C789" s="95" t="str">
        <f>'Active and Pre-IPO SPACs'!C790</f>
        <v>Searching</v>
      </c>
      <c r="D789" s="91" t="str">
        <f>'Active and Pre-IPO SPACs'!D790</f>
        <v>Tech</v>
      </c>
      <c r="E789" s="96" t="str">
        <f>'Active and Pre-IPO SPACs'!E790</f>
        <v/>
      </c>
      <c r="F789" s="97" t="str">
        <f>'Active and Pre-IPO SPACs'!F790</f>
        <v>Emil Michael (Fmr Chief Business Officer, Uber), Eric Schmidt (Fmr Google CEO and Chairman, Fmr Exec Chairman, Alphabet) Shervin Pishevar (Co-founder, Sherpa Capital), Betsy Atkins (Fmr CEO, Clear Standards; Co-founder Ascend Communications)</v>
      </c>
      <c r="G789" s="98">
        <f>'Active and Pre-IPO SPACs'!P790</f>
        <v>44125</v>
      </c>
      <c r="H789" s="99">
        <f>'Active and Pre-IPO SPACs'!Q790</f>
        <v>300</v>
      </c>
      <c r="I789" s="97">
        <f>'Active and Pre-IPO SPACs'!K790</f>
        <v>10.4672</v>
      </c>
    </row>
    <row r="790">
      <c r="A790" s="103" t="str">
        <f>'Active and Pre-IPO SPACs'!A791</f>
        <v>XXXX</v>
      </c>
      <c r="B790" s="95" t="str">
        <f>'Active and Pre-IPO SPACs'!B791</f>
        <v>Capitol Investment Corp. VI</v>
      </c>
      <c r="C790" s="95" t="str">
        <f>'Active and Pre-IPO SPACs'!C791</f>
        <v>Pre IPO</v>
      </c>
      <c r="D790" s="91" t="str">
        <f>'Active and Pre-IPO SPACs'!D791</f>
        <v/>
      </c>
      <c r="E790" s="96" t="str">
        <f>'Active and Pre-IPO SPACs'!E791</f>
        <v/>
      </c>
      <c r="F790" s="97" t="str">
        <f>'Active and Pre-IPO SPACs'!F791</f>
        <v>Mark Ein, Dyson Dryden, Raul Fernandez (Vice Chair, Moumental Sports &amp; Entertainment), Tad Smith, Jr. (Fmr CEO, Sotheby's)</v>
      </c>
      <c r="G790" s="98" t="str">
        <f>'Active and Pre-IPO SPACs'!P791</f>
        <v/>
      </c>
      <c r="H790" s="99">
        <f>'Active and Pre-IPO SPACs'!Q791</f>
        <v>200</v>
      </c>
      <c r="I790" s="97" t="str">
        <f>'Active and Pre-IPO SPACs'!K791</f>
        <v> </v>
      </c>
    </row>
    <row r="791">
      <c r="A791" s="103" t="str">
        <f>'Active and Pre-IPO SPACs'!A792</f>
        <v>XXXX</v>
      </c>
      <c r="B791" s="95" t="str">
        <f>'Active and Pre-IPO SPACs'!B792</f>
        <v>Capitol Investment Corp. VII</v>
      </c>
      <c r="C791" s="95" t="str">
        <f>'Active and Pre-IPO SPACs'!C792</f>
        <v>Pre IPO</v>
      </c>
      <c r="D791" s="91" t="str">
        <f>'Active and Pre-IPO SPACs'!D792</f>
        <v/>
      </c>
      <c r="E791" s="96" t="str">
        <f>'Active and Pre-IPO SPACs'!E792</f>
        <v/>
      </c>
      <c r="F791" s="97" t="str">
        <f>'Active and Pre-IPO SPACs'!F792</f>
        <v>Mark Ein, Dyson Dryden, Raul Fernandez (Vice Chair, Moumental Sports &amp; Entertainment), Tad Smith, Jr. (Fmr CEO, Sotheby's)</v>
      </c>
      <c r="G791" s="98" t="str">
        <f>'Active and Pre-IPO SPACs'!P792</f>
        <v/>
      </c>
      <c r="H791" s="99">
        <f>'Active and Pre-IPO SPACs'!Q792</f>
        <v>400</v>
      </c>
      <c r="I791" s="97" t="str">
        <f>'Active and Pre-IPO SPACs'!K792</f>
        <v> </v>
      </c>
    </row>
    <row r="792">
      <c r="A792" s="103" t="str">
        <f>'Active and Pre-IPO SPACs'!A793</f>
        <v>XXXX</v>
      </c>
      <c r="B792" s="95" t="str">
        <f>'Active and Pre-IPO SPACs'!B793</f>
        <v>Bannix Acquisition Corp.</v>
      </c>
      <c r="C792" s="95" t="str">
        <f>'Active and Pre-IPO SPACs'!C793</f>
        <v>Pre IPO</v>
      </c>
      <c r="D792" s="101" t="str">
        <f>'Active and Pre-IPO SPACs'!D793</f>
        <v>Enterprise Software</v>
      </c>
      <c r="E792" s="96" t="str">
        <f>'Active and Pre-IPO SPACs'!E793</f>
        <v/>
      </c>
      <c r="F792" s="97" t="str">
        <f>'Active and Pre-IPO SPACs'!F793</f>
        <v/>
      </c>
      <c r="G792" s="98" t="str">
        <f>'Active and Pre-IPO SPACs'!P793</f>
        <v/>
      </c>
      <c r="H792" s="99">
        <f>'Active and Pre-IPO SPACs'!Q793</f>
        <v>100</v>
      </c>
      <c r="I792" s="97" t="str">
        <f>'Active and Pre-IPO SPACs'!K793</f>
        <v> </v>
      </c>
    </row>
    <row r="793">
      <c r="A793" s="103" t="str">
        <f>'Active and Pre-IPO SPACs'!A794</f>
        <v>XXXX</v>
      </c>
      <c r="B793" s="95" t="str">
        <f>'Active and Pre-IPO SPACs'!B794</f>
        <v>Elliott Opportunity I Corp.</v>
      </c>
      <c r="C793" s="95" t="str">
        <f>'Active and Pre-IPO SPACs'!C794</f>
        <v>Pre IPO</v>
      </c>
      <c r="D793" s="91" t="str">
        <f>'Active and Pre-IPO SPACs'!D794</f>
        <v>Tech</v>
      </c>
      <c r="E793" s="96" t="str">
        <f>'Active and Pre-IPO SPACs'!E794</f>
        <v/>
      </c>
      <c r="F793" s="97" t="str">
        <f>'Active and Pre-IPO SPACs'!F794</f>
        <v>Gordon Singer (Managing Partner; Elliott Investment Management)</v>
      </c>
      <c r="G793" s="98" t="str">
        <f>'Active and Pre-IPO SPACs'!P794</f>
        <v/>
      </c>
      <c r="H793" s="99">
        <f>'Active and Pre-IPO SPACs'!Q794</f>
        <v>1000</v>
      </c>
      <c r="I793" s="97" t="str">
        <f>'Active and Pre-IPO SPACs'!K794</f>
        <v> </v>
      </c>
    </row>
    <row r="794">
      <c r="A794" s="103" t="str">
        <f>'Active and Pre-IPO SPACs'!A795</f>
        <v>XXXX</v>
      </c>
      <c r="B794" s="95" t="str">
        <f>'Active and Pre-IPO SPACs'!B795</f>
        <v>Elliott Opportunity II Corp.</v>
      </c>
      <c r="C794" s="95" t="str">
        <f>'Active and Pre-IPO SPACs'!C795</f>
        <v>Pre IPO</v>
      </c>
      <c r="D794" s="91" t="str">
        <f>'Active and Pre-IPO SPACs'!D795</f>
        <v>Tech</v>
      </c>
      <c r="E794" s="96" t="str">
        <f>'Active and Pre-IPO SPACs'!E795</f>
        <v/>
      </c>
      <c r="F794" s="97" t="str">
        <f>'Active and Pre-IPO SPACs'!F795</f>
        <v>Gordon Singer (Managing Partner; Elliott Investment Management)</v>
      </c>
      <c r="G794" s="98" t="str">
        <f>'Active and Pre-IPO SPACs'!P795</f>
        <v/>
      </c>
      <c r="H794" s="99">
        <f>'Active and Pre-IPO SPACs'!Q795</f>
        <v>500</v>
      </c>
      <c r="I794" s="97" t="str">
        <f>'Active and Pre-IPO SPACs'!K795</f>
        <v> </v>
      </c>
    </row>
    <row r="795">
      <c r="A795" s="103" t="str">
        <f>'Active and Pre-IPO SPACs'!A796</f>
        <v>XXXX</v>
      </c>
      <c r="B795" s="95" t="str">
        <f>'Active and Pre-IPO SPACs'!B796</f>
        <v>Aspirational Consumer Lifestyle Corp. II</v>
      </c>
      <c r="C795" s="95" t="str">
        <f>'Active and Pre-IPO SPACs'!C796</f>
        <v>Pre IPO</v>
      </c>
      <c r="D795" s="91" t="str">
        <f>'Active and Pre-IPO SPACs'!D796</f>
        <v>Consumer, Premium brands that offer an aspirational lifestyle experience</v>
      </c>
      <c r="E795" s="96" t="str">
        <f>'Active and Pre-IPO SPACs'!E796</f>
        <v/>
      </c>
      <c r="F795" s="97" t="str">
        <f>'Active and Pre-IPO SPACs'!F796</f>
        <v>Ravi Thakran (South Asia Group Chairman of LVMH, Chairman L Catterton Asia)</v>
      </c>
      <c r="G795" s="98" t="str">
        <f>'Active and Pre-IPO SPACs'!P796</f>
        <v/>
      </c>
      <c r="H795" s="99">
        <f>'Active and Pre-IPO SPACs'!Q796</f>
        <v>300</v>
      </c>
      <c r="I795" s="97" t="str">
        <f>'Active and Pre-IPO SPACs'!K796</f>
        <v> </v>
      </c>
    </row>
    <row r="796">
      <c r="A796" s="103" t="str">
        <f>'Active and Pre-IPO SPACs'!A797</f>
        <v>XXXX</v>
      </c>
      <c r="B796" s="95" t="str">
        <f>'Active and Pre-IPO SPACs'!B797</f>
        <v>Leo Holdings IV Corp</v>
      </c>
      <c r="C796" s="95" t="str">
        <f>'Active and Pre-IPO SPACs'!C797</f>
        <v>Pre IPO</v>
      </c>
      <c r="D796" s="91" t="str">
        <f>'Active and Pre-IPO SPACs'!D797</f>
        <v>Consumer</v>
      </c>
      <c r="E796" s="96" t="str">
        <f>'Active and Pre-IPO SPACs'!E797</f>
        <v/>
      </c>
      <c r="F796" s="97" t="str">
        <f>'Active and Pre-IPO SPACs'!F797</f>
        <v>Ed Forst (Former CEO of Cushman &amp; Wakefield, Former Co-CEO of Goldman Sachs Asset Management, and Former CEO of Realty Shares), Lyndon Lea (Founder &amp; Managing Partner of Lion Capital), Lori Bush (Former CEO, Rodan + Fields)</v>
      </c>
      <c r="G796" s="98" t="str">
        <f>'Active and Pre-IPO SPACs'!P797</f>
        <v/>
      </c>
      <c r="H796" s="99">
        <f>'Active and Pre-IPO SPACs'!Q797</f>
        <v>300</v>
      </c>
      <c r="I796" s="97" t="str">
        <f>'Active and Pre-IPO SPACs'!K797</f>
        <v> </v>
      </c>
    </row>
    <row r="797">
      <c r="A797" s="103" t="str">
        <f>'Active and Pre-IPO SPACs'!A798</f>
        <v>XXXX</v>
      </c>
      <c r="B797" s="95" t="str">
        <f>'Active and Pre-IPO SPACs'!B798</f>
        <v>INSU Acquisition Corp. IV</v>
      </c>
      <c r="C797" s="95" t="str">
        <f>'Active and Pre-IPO SPACs'!C798</f>
        <v>Pre IPO</v>
      </c>
      <c r="D797" s="101" t="str">
        <f>'Active and Pre-IPO SPACs'!D798</f>
        <v>Insurance, InsurTech</v>
      </c>
      <c r="E797" s="96" t="str">
        <f>'Active and Pre-IPO SPACs'!E798</f>
        <v/>
      </c>
      <c r="F797" s="97" t="str">
        <f>'Active and Pre-IPO SPACs'!F798</f>
        <v>Daniel Cohen (Chairman of Cohen &amp; Company)</v>
      </c>
      <c r="G797" s="98" t="str">
        <f>'Active and Pre-IPO SPACs'!P798</f>
        <v/>
      </c>
      <c r="H797" s="99">
        <f>'Active and Pre-IPO SPACs'!Q798</f>
        <v>220</v>
      </c>
      <c r="I797" s="97" t="str">
        <f>'Active and Pre-IPO SPACs'!K798</f>
        <v> </v>
      </c>
    </row>
    <row r="798">
      <c r="A798" s="103" t="str">
        <f>'Active and Pre-IPO SPACs'!A799</f>
        <v>XXXX</v>
      </c>
      <c r="B798" s="95" t="str">
        <f>'Active and Pre-IPO SPACs'!B799</f>
        <v>Foresite Life Sciences Corp.</v>
      </c>
      <c r="C798" s="95" t="str">
        <f>'Active and Pre-IPO SPACs'!C799</f>
        <v>Pre IPO</v>
      </c>
      <c r="D798" s="101" t="str">
        <f>'Active and Pre-IPO SPACs'!D799</f>
        <v>Biotech, Life Sciences, Healthcare</v>
      </c>
      <c r="E798" s="96" t="str">
        <f>'Active and Pre-IPO SPACs'!E799</f>
        <v/>
      </c>
      <c r="F798" s="97" t="str">
        <f>'Active and Pre-IPO SPACs'!F799</f>
        <v>Jim Tananbaum (Founder &amp; CEO of Foresite Capital)</v>
      </c>
      <c r="G798" s="98" t="str">
        <f>'Active and Pre-IPO SPACs'!P799</f>
        <v/>
      </c>
      <c r="H798" s="99">
        <f>'Active and Pre-IPO SPACs'!Q799</f>
        <v>250</v>
      </c>
      <c r="I798" s="97" t="str">
        <f>'Active and Pre-IPO SPACs'!K799</f>
        <v> </v>
      </c>
    </row>
    <row r="799">
      <c r="A799" s="103" t="str">
        <f>'Active and Pre-IPO SPACs'!A800</f>
        <v>XXXX</v>
      </c>
      <c r="B799" s="95" t="str">
        <f>'Active and Pre-IPO SPACs'!B800</f>
        <v>Corner Growth Acquisition Corp. 3</v>
      </c>
      <c r="C799" s="95" t="str">
        <f>'Active and Pre-IPO SPACs'!C800</f>
        <v>Pre IPO</v>
      </c>
      <c r="D799" s="101" t="str">
        <f>'Active and Pre-IPO SPACs'!D800</f>
        <v>Tech</v>
      </c>
      <c r="E799" s="96" t="str">
        <f>'Active and Pre-IPO SPACs'!E800</f>
        <v/>
      </c>
      <c r="F799" s="97" t="str">
        <f>'Active and Pre-IPO SPACs'!F800</f>
        <v>John Cadeddu (General Partner &amp; Managing Director of Corner Ventures), Alexandre Balkanski (CEO of Picarro and Fomer General Partner of Benchmark Capital), Jason Park (CFO of DraftKings)</v>
      </c>
      <c r="G799" s="98" t="str">
        <f>'Active and Pre-IPO SPACs'!P800</f>
        <v/>
      </c>
      <c r="H799" s="99">
        <f>'Active and Pre-IPO SPACs'!Q800</f>
        <v>450</v>
      </c>
      <c r="I799" s="97" t="str">
        <f>'Active and Pre-IPO SPACs'!K800</f>
        <v> </v>
      </c>
    </row>
    <row r="800">
      <c r="A800" s="103" t="str">
        <f>'Active and Pre-IPO SPACs'!A801</f>
        <v>XXXX</v>
      </c>
      <c r="B800" s="95" t="str">
        <f>'Active and Pre-IPO SPACs'!B801</f>
        <v>BrightSpark Capitol Corp.</v>
      </c>
      <c r="C800" s="95" t="str">
        <f>'Active and Pre-IPO SPACs'!C801</f>
        <v>Pre IPO</v>
      </c>
      <c r="D800" s="101" t="str">
        <f>'Active and Pre-IPO SPACs'!D801</f>
        <v>Digital forward consumer (including health, wellness, and beauty)</v>
      </c>
      <c r="E800" s="96" t="str">
        <f>'Active and Pre-IPO SPACs'!E801</f>
        <v/>
      </c>
      <c r="F800" s="97" t="str">
        <f>'Active and Pre-IPO SPACs'!F801</f>
        <v>Helena Foulkes (Former CEO &amp; Director of HBC, Director at the Home Depot), Marla Beck (Co-founder &amp; CEO of Bluemercury), Mark Ein (Founder &amp; Owner of MDE Sports and Serial SPAC sponsor: Capitol)</v>
      </c>
      <c r="G800" s="98" t="str">
        <f>'Active and Pre-IPO SPACs'!P801</f>
        <v/>
      </c>
      <c r="H800" s="99">
        <f>'Active and Pre-IPO SPACs'!Q801</f>
        <v>200</v>
      </c>
      <c r="I800" s="97" t="str">
        <f>'Active and Pre-IPO SPACs'!K801</f>
        <v> </v>
      </c>
    </row>
    <row r="801">
      <c r="A801" s="103" t="str">
        <f>'Active and Pre-IPO SPACs'!A802</f>
        <v>XXXX</v>
      </c>
      <c r="B801" s="95" t="str">
        <f>'Active and Pre-IPO SPACs'!B802</f>
        <v>Corner Growth Acquisition Corp. 2</v>
      </c>
      <c r="C801" s="95" t="str">
        <f>'Active and Pre-IPO SPACs'!C802</f>
        <v>Pre IPO</v>
      </c>
      <c r="D801" s="101" t="str">
        <f>'Active and Pre-IPO SPACs'!D802</f>
        <v>Tech</v>
      </c>
      <c r="E801" s="96" t="str">
        <f>'Active and Pre-IPO SPACs'!E802</f>
        <v/>
      </c>
      <c r="F801" s="97" t="str">
        <f>'Active and Pre-IPO SPACs'!F802</f>
        <v>John Cadeddu (General Partner &amp; Managing Director of Corner Ventures), Alexandre Balkanski (CEO of Picarro and Fomer General Partner of Benchmark Capital), Jason Park (CFO of DraftKings)</v>
      </c>
      <c r="G801" s="98" t="str">
        <f>'Active and Pre-IPO SPACs'!P802</f>
        <v/>
      </c>
      <c r="H801" s="99">
        <f>'Active and Pre-IPO SPACs'!Q802</f>
        <v>175</v>
      </c>
      <c r="I801" s="97" t="str">
        <f>'Active and Pre-IPO SPACs'!K802</f>
        <v> </v>
      </c>
    </row>
    <row r="802">
      <c r="A802" s="103" t="str">
        <f>'Active and Pre-IPO SPACs'!A803</f>
        <v>XXXX</v>
      </c>
      <c r="B802" s="95" t="str">
        <f>'Active and Pre-IPO SPACs'!B803</f>
        <v>G Squared Ascend II, Inc.</v>
      </c>
      <c r="C802" s="95" t="str">
        <f>'Active and Pre-IPO SPACs'!C803</f>
        <v>Pre IPO</v>
      </c>
      <c r="D802" s="91" t="str">
        <f>'Active and Pre-IPO SPACs'!D803</f>
        <v>Tech: SaaS, Online Marketplaces, Mobility 2.0/Logistics, Fintech/Insurtech, New Age Media and Sustainability</v>
      </c>
      <c r="E802" s="96" t="str">
        <f>'Active and Pre-IPO SPACs'!E803</f>
        <v/>
      </c>
      <c r="F802" s="97" t="str">
        <f>'Active and Pre-IPO SPACs'!F803</f>
        <v>Larry Aschebrook (Founder/MP, G Squared), Thomas Evans (Fmr CEO, Bankrate; Director, Angie’s Home Services, Shutterstock), Kenneth Hahn (CFO, Coursera)</v>
      </c>
      <c r="G802" s="98" t="str">
        <f>'Active and Pre-IPO SPACs'!P803</f>
        <v/>
      </c>
      <c r="H802" s="99">
        <f>'Active and Pre-IPO SPACs'!Q803</f>
        <v>125</v>
      </c>
      <c r="I802" s="97" t="str">
        <f>'Active and Pre-IPO SPACs'!K803</f>
        <v> </v>
      </c>
    </row>
    <row r="803">
      <c r="A803" s="103" t="str">
        <f>'Active and Pre-IPO SPACs'!A804</f>
        <v>XXXX</v>
      </c>
      <c r="B803" s="95" t="str">
        <f>'Active and Pre-IPO SPACs'!B804</f>
        <v>AdMY Technology Group, Inc.</v>
      </c>
      <c r="C803" s="95" t="str">
        <f>'Active and Pre-IPO SPACs'!C804</f>
        <v>Pre IPO</v>
      </c>
      <c r="D803" s="91" t="str">
        <f>'Active and Pre-IPO SPACs'!D804</f>
        <v>Communications, cloud infrastructure (incl. 5G, edge &amp; cloud computing)</v>
      </c>
      <c r="E803" s="96" t="str">
        <f>'Active and Pre-IPO SPACs'!E804</f>
        <v/>
      </c>
      <c r="F803" s="97" t="str">
        <f>'Active and Pre-IPO SPACs'!F804</f>
        <v>Niccolo de Masi (CEO of DMYT, DMYD), Harry You (Fmr CFO, Oracle and Accenture; Fmr Exec VP of EMC; Founder, GTY Tech Holdings), Darla Anderson (Producer, Netflix; Fmr Producer, Pixar Animation)</v>
      </c>
      <c r="G803" s="98" t="str">
        <f>'Active and Pre-IPO SPACs'!P804</f>
        <v/>
      </c>
      <c r="H803" s="99">
        <f>'Active and Pre-IPO SPACs'!Q804</f>
        <v>250</v>
      </c>
      <c r="I803" s="97" t="str">
        <f>'Active and Pre-IPO SPACs'!K804</f>
        <v> </v>
      </c>
    </row>
    <row r="804">
      <c r="A804" s="103" t="str">
        <f>'Active and Pre-IPO SPACs'!A805</f>
        <v>XXXX</v>
      </c>
      <c r="B804" s="95" t="str">
        <f>'Active and Pre-IPO SPACs'!B805</f>
        <v>FirstMark Acquisition Corp. II</v>
      </c>
      <c r="C804" s="95" t="str">
        <f>'Active and Pre-IPO SPACs'!C805</f>
        <v>Pre IPO</v>
      </c>
      <c r="D804" s="91" t="str">
        <f>'Active and Pre-IPO SPACs'!D805</f>
        <v>Tech</v>
      </c>
      <c r="E804" s="96" t="str">
        <f>'Active and Pre-IPO SPACs'!E805</f>
        <v/>
      </c>
      <c r="F804" s="97" t="str">
        <f>'Active and Pre-IPO SPACs'!F805</f>
        <v>Richard Heitzmann (Founder and Partner of FirstMark)</v>
      </c>
      <c r="G804" s="98" t="str">
        <f>'Active and Pre-IPO SPACs'!P805</f>
        <v/>
      </c>
      <c r="H804" s="99">
        <f>'Active and Pre-IPO SPACs'!Q805</f>
        <v>200</v>
      </c>
      <c r="I804" s="97" t="str">
        <f>'Active and Pre-IPO SPACs'!K805</f>
        <v> </v>
      </c>
    </row>
    <row r="805">
      <c r="A805" s="103" t="str">
        <f>'Active and Pre-IPO SPACs'!A806</f>
        <v>XXXX</v>
      </c>
      <c r="B805" s="95" t="str">
        <f>'Active and Pre-IPO SPACs'!B806</f>
        <v>C&amp;W Acquisition Corp.</v>
      </c>
      <c r="C805" s="95" t="str">
        <f>'Active and Pre-IPO SPACs'!C806</f>
        <v>Pre IPO</v>
      </c>
      <c r="D805" s="101" t="str">
        <f>'Active and Pre-IPO SPACs'!D806</f>
        <v>Real Estate, Proptech</v>
      </c>
      <c r="E805" s="96" t="str">
        <f>'Active and Pre-IPO SPACs'!E806</f>
        <v/>
      </c>
      <c r="F805" s="97" t="str">
        <f>'Active and Pre-IPO SPACs'!F806</f>
        <v>Brett White (Exec Chairman/CEO, Cushman &amp; Wakefield)</v>
      </c>
      <c r="G805" s="98" t="str">
        <f>'Active and Pre-IPO SPACs'!P806</f>
        <v/>
      </c>
      <c r="H805" s="99">
        <f>'Active and Pre-IPO SPACs'!Q806</f>
        <v>250</v>
      </c>
      <c r="I805" s="97" t="str">
        <f>'Active and Pre-IPO SPACs'!K806</f>
        <v> </v>
      </c>
    </row>
    <row r="806">
      <c r="A806" s="103" t="str">
        <f>'Active and Pre-IPO SPACs'!A807</f>
        <v>XXXX</v>
      </c>
      <c r="B806" s="95" t="str">
        <f>'Active and Pre-IPO SPACs'!B807</f>
        <v>Vector Acquisition Corp III</v>
      </c>
      <c r="C806" s="95" t="str">
        <f>'Active and Pre-IPO SPACs'!C807</f>
        <v>Pre IPO</v>
      </c>
      <c r="D806" s="101" t="str">
        <f>'Active and Pre-IPO SPACs'!D807</f>
        <v>Tech</v>
      </c>
      <c r="E806" s="96" t="str">
        <f>'Active and Pre-IPO SPACs'!E807</f>
        <v/>
      </c>
      <c r="F806" s="97" t="str">
        <f>'Active and Pre-IPO SPACs'!F807</f>
        <v>Alex Slusky (Founder of Vector Capital)</v>
      </c>
      <c r="G806" s="98" t="str">
        <f>'Active and Pre-IPO SPACs'!P807</f>
        <v/>
      </c>
      <c r="H806" s="99">
        <f>'Active and Pre-IPO SPACs'!Q807</f>
        <v>250</v>
      </c>
      <c r="I806" s="97" t="str">
        <f>'Active and Pre-IPO SPACs'!K807</f>
        <v> </v>
      </c>
    </row>
    <row r="807">
      <c r="A807" s="103" t="str">
        <f>'Active and Pre-IPO SPACs'!A808</f>
        <v>XXXX</v>
      </c>
      <c r="B807" s="95" t="str">
        <f>'Active and Pre-IPO SPACs'!B808</f>
        <v>Brand Velocity Acquisition Corp</v>
      </c>
      <c r="C807" s="95" t="str">
        <f>'Active and Pre-IPO SPACs'!C808</f>
        <v>Pre IPO</v>
      </c>
      <c r="D807" s="101" t="str">
        <f>'Active and Pre-IPO SPACs'!D808</f>
        <v>Branded Consumer</v>
      </c>
      <c r="E807" s="96" t="str">
        <f>'Active and Pre-IPO SPACs'!E808</f>
        <v/>
      </c>
      <c r="F807" s="97" t="str">
        <f>'Active and Pre-IPO SPACs'!F808</f>
        <v>Advisors: Eli Manning (Former NFL Player), LaDainian Tomlinson (Former NFL Player)</v>
      </c>
      <c r="G807" s="98" t="str">
        <f>'Active and Pre-IPO SPACs'!P808</f>
        <v/>
      </c>
      <c r="H807" s="99">
        <f>'Active and Pre-IPO SPACs'!Q808</f>
        <v>200</v>
      </c>
      <c r="I807" s="97" t="str">
        <f>'Active and Pre-IPO SPACs'!K808</f>
        <v> </v>
      </c>
    </row>
    <row r="808">
      <c r="A808" s="103" t="str">
        <f>'Active and Pre-IPO SPACs'!A809</f>
        <v>XXXX</v>
      </c>
      <c r="B808" s="95" t="str">
        <f>'Active and Pre-IPO SPACs'!B809</f>
        <v>FirstMark Acquisition Corp. III</v>
      </c>
      <c r="C808" s="95" t="str">
        <f>'Active and Pre-IPO SPACs'!C809</f>
        <v>Pre IPO</v>
      </c>
      <c r="D808" s="91" t="str">
        <f>'Active and Pre-IPO SPACs'!D809</f>
        <v>Tech</v>
      </c>
      <c r="E808" s="96" t="str">
        <f>'Active and Pre-IPO SPACs'!E809</f>
        <v/>
      </c>
      <c r="F808" s="97" t="str">
        <f>'Active and Pre-IPO SPACs'!F809</f>
        <v>Richard Heitzmann (Founder, FirstMark)</v>
      </c>
      <c r="G808" s="98" t="str">
        <f>'Active and Pre-IPO SPACs'!P809</f>
        <v/>
      </c>
      <c r="H808" s="99">
        <f>'Active and Pre-IPO SPACs'!Q809</f>
        <v>400</v>
      </c>
      <c r="I808" s="97" t="str">
        <f>'Active and Pre-IPO SPACs'!K809</f>
        <v> </v>
      </c>
    </row>
    <row r="809">
      <c r="A809" s="103" t="str">
        <f>'Active and Pre-IPO SPACs'!A810</f>
        <v>XXXX</v>
      </c>
      <c r="B809" s="95" t="str">
        <f>'Active and Pre-IPO SPACs'!B810</f>
        <v>Leo Holdings V Corp</v>
      </c>
      <c r="C809" s="95" t="str">
        <f>'Active and Pre-IPO SPACs'!C810</f>
        <v>Pre IPO</v>
      </c>
      <c r="D809" s="91" t="str">
        <f>'Active and Pre-IPO SPACs'!D810</f>
        <v>Consumer</v>
      </c>
      <c r="E809" s="96" t="str">
        <f>'Active and Pre-IPO SPACs'!E810</f>
        <v/>
      </c>
      <c r="F809" s="97" t="str">
        <f>'Active and Pre-IPO SPACs'!F810</f>
        <v>Edward Forst (Former CEO of Cushman &amp; Wakefield), Lyndon Lea (Founder &amp; Managing Partner of Lion Capital), Lori Bush (Former CEO, Rodan + Fields)</v>
      </c>
      <c r="G809" s="98" t="str">
        <f>'Active and Pre-IPO SPACs'!P810</f>
        <v/>
      </c>
      <c r="H809" s="99">
        <f>'Active and Pre-IPO SPACs'!Q810</f>
        <v>250</v>
      </c>
      <c r="I809" s="97" t="str">
        <f>'Active and Pre-IPO SPACs'!K810</f>
        <v> </v>
      </c>
    </row>
    <row r="810">
      <c r="A810" s="103" t="str">
        <f>'Active and Pre-IPO SPACs'!A811</f>
        <v>XXXX</v>
      </c>
      <c r="B810" s="95" t="str">
        <f>'Active and Pre-IPO SPACs'!B811</f>
        <v>BharCap Acquisition Corp.</v>
      </c>
      <c r="C810" s="95" t="str">
        <f>'Active and Pre-IPO SPACs'!C811</f>
        <v>Pre IPO</v>
      </c>
      <c r="D810" s="101" t="str">
        <f>'Active and Pre-IPO SPACs'!D811</f>
        <v>Financial Services, Fintech</v>
      </c>
      <c r="E810" s="96" t="str">
        <f>'Active and Pre-IPO SPACs'!E811</f>
        <v/>
      </c>
      <c r="F810" s="97" t="str">
        <f>'Active and Pre-IPO SPACs'!F811</f>
        <v>Raj Date (Managing Partner of Fenway Summer), Gene Lockhart (Former CEO of Mastercard International), Karl Mehta (Founder &amp; CEO of EdCast and Former venture partner at Menlo Ventures)</v>
      </c>
      <c r="G810" s="98" t="str">
        <f>'Active and Pre-IPO SPACs'!P811</f>
        <v/>
      </c>
      <c r="H810" s="99">
        <f>'Active and Pre-IPO SPACs'!Q811</f>
        <v>250</v>
      </c>
      <c r="I810" s="97" t="str">
        <f>'Active and Pre-IPO SPACs'!K811</f>
        <v> </v>
      </c>
    </row>
    <row r="811">
      <c r="A811" s="103" t="str">
        <f>'Active and Pre-IPO SPACs'!A812</f>
        <v>XXXX</v>
      </c>
      <c r="B811" s="95" t="str">
        <f>'Active and Pre-IPO SPACs'!B812</f>
        <v>Vector Acquisition Corp IV</v>
      </c>
      <c r="C811" s="95" t="str">
        <f>'Active and Pre-IPO SPACs'!C812</f>
        <v>Pre IPO</v>
      </c>
      <c r="D811" s="101" t="str">
        <f>'Active and Pre-IPO SPACs'!D812</f>
        <v>Tech</v>
      </c>
      <c r="E811" s="96" t="str">
        <f>'Active and Pre-IPO SPACs'!E812</f>
        <v/>
      </c>
      <c r="F811" s="97" t="str">
        <f>'Active and Pre-IPO SPACs'!F812</f>
        <v>Alex Slusky (Founder of Vector Capital)</v>
      </c>
      <c r="G811" s="98" t="str">
        <f>'Active and Pre-IPO SPACs'!P812</f>
        <v/>
      </c>
      <c r="H811" s="99">
        <f>'Active and Pre-IPO SPACs'!Q812</f>
        <v>350</v>
      </c>
      <c r="I811" s="97" t="str">
        <f>'Active and Pre-IPO SPACs'!K812</f>
        <v> </v>
      </c>
    </row>
    <row r="812">
      <c r="A812" s="103" t="str">
        <f>'Active and Pre-IPO SPACs'!A813</f>
        <v>XXXX</v>
      </c>
      <c r="B812" s="95" t="str">
        <f>'Active and Pre-IPO SPACs'!B813</f>
        <v>Falcon Capital Acquisition Corp. II</v>
      </c>
      <c r="C812" s="95" t="str">
        <f>'Active and Pre-IPO SPACs'!C813</f>
        <v>Pre IPO</v>
      </c>
      <c r="D812" s="101" t="str">
        <f>'Active and Pre-IPO SPACs'!D813</f>
        <v>Media, Entertainment, Sports, Tech</v>
      </c>
      <c r="E812" s="96" t="str">
        <f>'Active and Pre-IPO SPACs'!E813</f>
        <v/>
      </c>
      <c r="F812" s="97" t="str">
        <f>'Active and Pre-IPO SPACs'!F813</f>
        <v>Alan Mnuchin, Karen Finerman (Co-founder/CEO, Metropolitan Capital Advisors), Michael Ronen (Fmr MP, Softbank Vision Fund), Doug Band (Fmr Deputy Asst. to President Clinton), Jeremy Zimmer (Co-founder /CEO, United Talent Agency)</v>
      </c>
      <c r="G812" s="98" t="str">
        <f>'Active and Pre-IPO SPACs'!P813</f>
        <v/>
      </c>
      <c r="H812" s="99">
        <f>'Active and Pre-IPO SPACs'!Q813</f>
        <v>400</v>
      </c>
      <c r="I812" s="97" t="str">
        <f>'Active and Pre-IPO SPACs'!K813</f>
        <v> </v>
      </c>
    </row>
    <row r="813">
      <c r="A813" s="103" t="str">
        <f>'Active and Pre-IPO SPACs'!A814</f>
        <v>XXXX</v>
      </c>
      <c r="B813" s="95" t="str">
        <f>'Active and Pre-IPO SPACs'!B814</f>
        <v>Patria Acquisition Corp.</v>
      </c>
      <c r="C813" s="95" t="str">
        <f>'Active and Pre-IPO SPACs'!C814</f>
        <v>Pre IPO</v>
      </c>
      <c r="D813" s="101" t="str">
        <f>'Active and Pre-IPO SPACs'!D814</f>
        <v>Latin America</v>
      </c>
      <c r="E813" s="96" t="str">
        <f>'Active and Pre-IPO SPACs'!E814</f>
        <v/>
      </c>
      <c r="F813" s="97" t="str">
        <f>'Active and Pre-IPO SPACs'!F814</f>
        <v/>
      </c>
      <c r="G813" s="98" t="str">
        <f>'Active and Pre-IPO SPACs'!P814</f>
        <v/>
      </c>
      <c r="H813" s="99">
        <f>'Active and Pre-IPO SPACs'!Q814</f>
        <v>250</v>
      </c>
      <c r="I813" s="97" t="str">
        <f>'Active and Pre-IPO SPACs'!K814</f>
        <v> </v>
      </c>
    </row>
    <row r="814">
      <c r="A814" s="103" t="str">
        <f>'Active and Pre-IPO SPACs'!A815</f>
        <v>XXXX</v>
      </c>
      <c r="B814" s="95" t="str">
        <f>'Active and Pre-IPO SPACs'!B815</f>
        <v>Good Commerce Acquisition Corp</v>
      </c>
      <c r="C814" s="95" t="str">
        <f>'Active and Pre-IPO SPACs'!C815</f>
        <v>Pre IPO</v>
      </c>
      <c r="D814" s="101" t="str">
        <f>'Active and Pre-IPO SPACs'!D815</f>
        <v>Consumer roll-up</v>
      </c>
      <c r="E814" s="96" t="str">
        <f>'Active and Pre-IPO SPACs'!E815</f>
        <v/>
      </c>
      <c r="F814" s="97" t="str">
        <f>'Active and Pre-IPO SPACs'!F815</f>
        <v>Art Peck (Former CEO of Gap, Inc.)</v>
      </c>
      <c r="G814" s="98" t="str">
        <f>'Active and Pre-IPO SPACs'!P815</f>
        <v/>
      </c>
      <c r="H814" s="99">
        <f>'Active and Pre-IPO SPACs'!Q815</f>
        <v>200</v>
      </c>
      <c r="I814" s="97" t="str">
        <f>'Active and Pre-IPO SPACs'!K815</f>
        <v> </v>
      </c>
    </row>
    <row r="815">
      <c r="A815" s="103" t="str">
        <f>'Active and Pre-IPO SPACs'!A816</f>
        <v>XXXX</v>
      </c>
      <c r="B815" s="95" t="str">
        <f>'Active and Pre-IPO SPACs'!B816</f>
        <v>Ascendant Digital Acquisition Corp. II</v>
      </c>
      <c r="C815" s="95" t="str">
        <f>'Active and Pre-IPO SPACs'!C816</f>
        <v>Pre IPO</v>
      </c>
      <c r="D815" s="91" t="str">
        <f>'Active and Pre-IPO SPACs'!D816</f>
        <v>Attention Economy (Media / Entertainment/ Digital)</v>
      </c>
      <c r="E815" s="96" t="str">
        <f>'Active and Pre-IPO SPACs'!E816</f>
        <v/>
      </c>
      <c r="F815" s="97" t="str">
        <f>'Active and Pre-IPO SPACs'!F816</f>
        <v>Mark Gerhard (Former CEO and CTO of Jagex Game Studios: creator of Runescape), Riaan Hodgson (Former COO and CFO of Jagex Game Studios), Michael Jesselson (Former Director of American Eagle Outfitters and Director of XPO Logistics), Diane Nelson (Former COO of Content at Quibi, Former President of DC Entertainment), Bob Foresman (Former Vice chairman of UBS Investment Bank)</v>
      </c>
      <c r="G815" s="98" t="str">
        <f>'Active and Pre-IPO SPACs'!P816</f>
        <v/>
      </c>
      <c r="H815" s="99">
        <f>'Active and Pre-IPO SPACs'!Q816</f>
        <v>300</v>
      </c>
      <c r="I815" s="97" t="str">
        <f>'Active and Pre-IPO SPACs'!K816</f>
        <v> </v>
      </c>
    </row>
    <row r="816">
      <c r="A816" s="103" t="str">
        <f>'Active and Pre-IPO SPACs'!A817</f>
        <v>XXXX</v>
      </c>
      <c r="B816" s="95" t="str">
        <f>'Active and Pre-IPO SPACs'!B817</f>
        <v>Falcon Acquisition Corp.</v>
      </c>
      <c r="C816" s="95" t="str">
        <f>'Active and Pre-IPO SPACs'!C817</f>
        <v>Pre IPO</v>
      </c>
      <c r="D816" s="91" t="str">
        <f>'Active and Pre-IPO SPACs'!D817</f>
        <v>Tech</v>
      </c>
      <c r="E816" s="96" t="str">
        <f>'Active and Pre-IPO SPACs'!E817</f>
        <v/>
      </c>
      <c r="F816" s="97" t="str">
        <f>'Active and Pre-IPO SPACs'!F817</f>
        <v>Thomas Barrack (Founder of Colony Capital and Former Director of Carrefour &amp; Continental Airlines)</v>
      </c>
      <c r="G816" s="98" t="str">
        <f>'Active and Pre-IPO SPACs'!P817</f>
        <v/>
      </c>
      <c r="H816" s="99">
        <f>'Active and Pre-IPO SPACs'!Q817</f>
        <v>250</v>
      </c>
      <c r="I816" s="97" t="str">
        <f>'Active and Pre-IPO SPACs'!K817</f>
        <v> </v>
      </c>
    </row>
    <row r="817">
      <c r="A817" s="78" t="str">
        <f>'Active and Pre-IPO SPACs'!A818</f>
        <v>YAC</v>
      </c>
      <c r="B817" s="95" t="str">
        <f>'Active and Pre-IPO SPACs'!B818</f>
        <v>Yucaipa Acquisition Corp</v>
      </c>
      <c r="C817" s="95" t="str">
        <f>'Active and Pre-IPO SPACs'!C818</f>
        <v>Searching</v>
      </c>
      <c r="D817" s="91" t="str">
        <f>'Active and Pre-IPO SPACs'!D818</f>
        <v/>
      </c>
      <c r="E817" s="96" t="str">
        <f>'Active and Pre-IPO SPACs'!E818</f>
        <v>[In talks (unconfirmed) with SIGNA Sports United: Per Bloomberg 4/8/21]</v>
      </c>
      <c r="F817" s="97" t="str">
        <f>'Active and Pre-IPO SPACs'!F818</f>
        <v>Ronald Burkle (Co-owner Pittsburgh Penguins; Chairman, Soho House; Co-founder A-Grade Investments)</v>
      </c>
      <c r="G817" s="98">
        <f>'Active and Pre-IPO SPACs'!P818</f>
        <v>44047</v>
      </c>
      <c r="H817" s="99">
        <f>'Active and Pre-IPO SPACs'!Q818</f>
        <v>345</v>
      </c>
      <c r="I817" s="97">
        <f>'Active and Pre-IPO SPACs'!K818</f>
        <v>10.31</v>
      </c>
    </row>
    <row r="818">
      <c r="A818" s="78" t="str">
        <f>'Active and Pre-IPO SPACs'!A819</f>
        <v>YSAC</v>
      </c>
      <c r="B818" s="95" t="str">
        <f>'Active and Pre-IPO SPACs'!B819</f>
        <v>Yellowstone Acquisition Company</v>
      </c>
      <c r="C818" s="95" t="str">
        <f>'Active and Pre-IPO SPACs'!C819</f>
        <v>Searching</v>
      </c>
      <c r="D818" s="91" t="str">
        <f>'Active and Pre-IPO SPACs'!D819</f>
        <v>Homebuilding, manufacturing serving the homebuilding market, financial services &amp; commercial real estate</v>
      </c>
      <c r="E818" s="96" t="str">
        <f>'Active and Pre-IPO SPACs'!E819</f>
        <v/>
      </c>
      <c r="F818" s="97" t="str">
        <f>'Active and Pre-IPO SPACs'!F819</f>
        <v/>
      </c>
      <c r="G818" s="98">
        <f>'Active and Pre-IPO SPACs'!P819</f>
        <v>44125</v>
      </c>
      <c r="H818" s="99">
        <f>'Active and Pre-IPO SPACs'!Q819</f>
        <v>135.98898</v>
      </c>
      <c r="I818" s="97">
        <f>'Active and Pre-IPO SPACs'!K819</f>
        <v>10.42</v>
      </c>
    </row>
    <row r="819">
      <c r="A819" s="103" t="str">
        <f>'Active and Pre-IPO SPACs'!A820</f>
        <v>YTPG</v>
      </c>
      <c r="B819" s="95" t="str">
        <f>'Active and Pre-IPO SPACs'!B820</f>
        <v>TPG Pace Beneficial II Corp.</v>
      </c>
      <c r="C819" s="95" t="str">
        <f>'Active and Pre-IPO SPACs'!C820</f>
        <v>Pre IPO</v>
      </c>
      <c r="D819" s="91" t="str">
        <f>'Active and Pre-IPO SPACs'!D820</f>
        <v>ESG</v>
      </c>
      <c r="E819" s="96" t="str">
        <f>'Active and Pre-IPO SPACs'!E820</f>
        <v/>
      </c>
      <c r="F819" s="97" t="str">
        <f>'Active and Pre-IPO SPACs'!F820</f>
        <v>Karl Peterson (Senior Partner of TPG and Managing Partner of TPG Pace Group)</v>
      </c>
      <c r="G819" s="98" t="str">
        <f>'Active and Pre-IPO SPACs'!P820</f>
        <v/>
      </c>
      <c r="H819" s="99">
        <f>'Active and Pre-IPO SPACs'!Q820</f>
        <v>350</v>
      </c>
      <c r="I819" s="97" t="str">
        <f>'Active and Pre-IPO SPACs'!K820</f>
        <v> </v>
      </c>
    </row>
    <row r="820">
      <c r="A820" s="78" t="str">
        <f>'Active and Pre-IPO SPACs'!A821</f>
        <v>ZGYH</v>
      </c>
      <c r="B820" s="95" t="str">
        <f>'Active and Pre-IPO SPACs'!B821</f>
        <v>Yunhong International</v>
      </c>
      <c r="C820" s="95" t="str">
        <f>'Active and Pre-IPO SPACs'!C821</f>
        <v>LOI</v>
      </c>
      <c r="D820" s="91" t="str">
        <f>'Active and Pre-IPO SPACs'!D821</f>
        <v>Consumer, Lifestyle, Asia (Excluding China)</v>
      </c>
      <c r="E820" s="96" t="str">
        <f>'Active and Pre-IPO SPACs'!E821</f>
        <v>Ares Motor Works [Non-Binding LOI 2/16/21]</v>
      </c>
      <c r="F820" s="97" t="str">
        <f>'Active and Pre-IPO SPACs'!F821</f>
        <v/>
      </c>
      <c r="G820" s="98">
        <f>'Active and Pre-IPO SPACs'!P821</f>
        <v>43874</v>
      </c>
      <c r="H820" s="99">
        <f>'Active and Pre-IPO SPACs'!Q821</f>
        <v>69</v>
      </c>
      <c r="I820" s="97" t="str">
        <f>'Active and Pre-IPO SPACs'!K821</f>
        <v> </v>
      </c>
    </row>
    <row r="821">
      <c r="A821" s="103" t="str">
        <f>'Active and Pre-IPO SPACs'!A822</f>
        <v>ZING</v>
      </c>
      <c r="B821" s="95" t="str">
        <f>'Active and Pre-IPO SPACs'!B822</f>
        <v>FTAC Zeus Acquisition Corp.</v>
      </c>
      <c r="C821" s="95" t="str">
        <f>'Active and Pre-IPO SPACs'!C822</f>
        <v>Pre IPO</v>
      </c>
      <c r="D821" s="101" t="str">
        <f>'Active and Pre-IPO SPACs'!D822</f>
        <v>Tech, Fintech</v>
      </c>
      <c r="E821" s="96" t="str">
        <f>'Active and Pre-IPO SPACs'!E822</f>
        <v/>
      </c>
      <c r="F821" s="97" t="str">
        <f>'Active and Pre-IPO SPACs'!F822</f>
        <v>Daniel Cohen (Chairman of Cohen &amp; Company and Chairman of The Bancorp)</v>
      </c>
      <c r="G821" s="98" t="str">
        <f>'Active and Pre-IPO SPACs'!P822</f>
        <v/>
      </c>
      <c r="H821" s="99">
        <f>'Active and Pre-IPO SPACs'!Q822</f>
        <v>440</v>
      </c>
      <c r="I821" s="97" t="str">
        <f>'Active and Pre-IPO SPACs'!K822</f>
        <v> </v>
      </c>
    </row>
    <row r="822">
      <c r="A822" s="78" t="str">
        <f>'Active and Pre-IPO SPACs'!A823</f>
        <v>ZNTE</v>
      </c>
      <c r="B822" s="95" t="str">
        <f>'Active and Pre-IPO SPACs'!B823</f>
        <v>Zanite Acquisition Corp</v>
      </c>
      <c r="C822" s="95" t="str">
        <f>'Active and Pre-IPO SPACs'!C823</f>
        <v>Searching</v>
      </c>
      <c r="D822" s="91" t="str">
        <f>'Active and Pre-IPO SPACs'!D823</f>
        <v>Aerospace &amp; Defense, Urban Mobility and Emerging Technology, Sustainable aviation</v>
      </c>
      <c r="E822" s="96" t="str">
        <f>'Active and Pre-IPO SPACs'!E823</f>
        <v/>
      </c>
      <c r="F822" s="97" t="str">
        <f>'Active and Pre-IPO SPACs'!F823</f>
        <v>Kenneth Ricci (Principal, Directional Aviation Capital), John Veihmeyer (Fmr Global Chairman, KPMG International; Director, Ford Motor), Larry Flynn (Fmr President, Gulfstream Aerospace), Advisor: Ronald Sugar (Fmr Chairman/CEO, Northrop Grumman; Chairman, Uber; Director of Apple, Chevron, Amgen)</v>
      </c>
      <c r="G822" s="98">
        <f>'Active and Pre-IPO SPACs'!P823</f>
        <v>44151</v>
      </c>
      <c r="H822" s="99">
        <f>'Active and Pre-IPO SPACs'!Q823</f>
        <v>232.3</v>
      </c>
      <c r="I822" s="97">
        <f>'Active and Pre-IPO SPACs'!K823</f>
        <v>10.73</v>
      </c>
    </row>
    <row r="823">
      <c r="A823" s="103" t="str">
        <f>'Active and Pre-IPO SPACs'!A824</f>
        <v>ZT</v>
      </c>
      <c r="B823" s="95" t="str">
        <f>'Active and Pre-IPO SPACs'!B824</f>
        <v>Zimmer Energy Transition Acquisition Corp.</v>
      </c>
      <c r="C823" s="95" t="str">
        <f>'Active and Pre-IPO SPACs'!C824</f>
        <v>Pre IPO</v>
      </c>
      <c r="D823" s="101" t="str">
        <f>'Active and Pre-IPO SPACs'!D824</f>
        <v>Energy Transition, Sustainability</v>
      </c>
      <c r="E823" s="96" t="str">
        <f>'Active and Pre-IPO SPACs'!E824</f>
        <v/>
      </c>
      <c r="F823" s="97" t="str">
        <f>'Active and Pre-IPO SPACs'!F824</f>
        <v>C. John Wilder (Former CEO, Shell Capital; Former CEO, TXU Corp)</v>
      </c>
      <c r="G823" s="98" t="str">
        <f>'Active and Pre-IPO SPACs'!P824</f>
        <v/>
      </c>
      <c r="H823" s="99">
        <f>'Active and Pre-IPO SPACs'!Q824</f>
        <v>350</v>
      </c>
      <c r="I823" s="97" t="str">
        <f>'Active and Pre-IPO SPACs'!K824</f>
        <v> </v>
      </c>
    </row>
    <row r="824">
      <c r="A824" s="78" t="str">
        <f>'Active and Pre-IPO SPACs'!A825</f>
        <v>ZWRK</v>
      </c>
      <c r="B824" s="95" t="str">
        <f>'Active and Pre-IPO SPACs'!B825</f>
        <v>Z-Work Acquisition Corp.</v>
      </c>
      <c r="C824" s="95" t="str">
        <f>'Active and Pre-IPO SPACs'!C825</f>
        <v>Searching</v>
      </c>
      <c r="D824" s="91" t="str">
        <f>'Active and Pre-IPO SPACs'!D825</f>
        <v>Tech</v>
      </c>
      <c r="E824" s="96" t="str">
        <f>'Active and Pre-IPO SPACs'!E825</f>
        <v/>
      </c>
      <c r="F824" s="97" t="str">
        <f>'Active and Pre-IPO SPACs'!F825</f>
        <v>Chris Terrill (Fmr CEO, ANGI Homeservices), Tom GLover (Fmr CEO, Thomson Reuters; Director, Merck, Morgan Stanley), Duncan Niederauer (Fmr CEO, NYSE Euronext), Mandy Ginsberg (Fmr CEO, Match Group; Director, Uber and JC Penney)</v>
      </c>
      <c r="G824" s="98">
        <f>'Active and Pre-IPO SPACs'!P825</f>
        <v>44224</v>
      </c>
      <c r="H824" s="99">
        <f>'Active and Pre-IPO SPACs'!Q825</f>
        <v>230</v>
      </c>
      <c r="I824" s="97">
        <f>'Active and Pre-IPO SPACs'!K825</f>
        <v>10</v>
      </c>
    </row>
    <row r="825">
      <c r="A825" s="103" t="str">
        <f>'Active and Pre-IPO SPACs'!A826</f>
        <v/>
      </c>
      <c r="B825" s="95" t="str">
        <f>'Active and Pre-IPO SPACs'!B826</f>
        <v/>
      </c>
      <c r="C825" s="95" t="str">
        <f>'Active and Pre-IPO SPACs'!C826</f>
        <v/>
      </c>
      <c r="D825" s="91" t="str">
        <f>'Active and Pre-IPO SPACs'!D826</f>
        <v/>
      </c>
      <c r="E825" s="96" t="str">
        <f>'Active and Pre-IPO SPACs'!E826</f>
        <v/>
      </c>
      <c r="F825" s="97" t="str">
        <f>'Active and Pre-IPO SPACs'!F826</f>
        <v/>
      </c>
      <c r="G825" s="98" t="str">
        <f>'Active and Pre-IPO SPACs'!P826</f>
        <v/>
      </c>
      <c r="H825" s="99" t="str">
        <f>'Active and Pre-IPO SPACs'!Q826</f>
        <v/>
      </c>
      <c r="I825" s="97" t="str">
        <f>'Active and Pre-IPO SPACs'!K826</f>
        <v/>
      </c>
    </row>
    <row r="826">
      <c r="A826" s="103" t="str">
        <f>'Active and Pre-IPO SPACs'!A827</f>
        <v/>
      </c>
      <c r="B826" s="95" t="str">
        <f>'Active and Pre-IPO SPACs'!B827</f>
        <v/>
      </c>
      <c r="C826" s="95" t="str">
        <f>'Active and Pre-IPO SPACs'!C827</f>
        <v/>
      </c>
      <c r="D826" s="91" t="str">
        <f>'Active and Pre-IPO SPACs'!D827</f>
        <v/>
      </c>
      <c r="E826" s="96" t="str">
        <f>'Active and Pre-IPO SPACs'!E827</f>
        <v/>
      </c>
      <c r="F826" s="97" t="str">
        <f>'Active and Pre-IPO SPACs'!F827</f>
        <v/>
      </c>
      <c r="G826" s="98" t="str">
        <f>'Active and Pre-IPO SPACs'!P827</f>
        <v/>
      </c>
      <c r="H826" s="99" t="str">
        <f>'Active and Pre-IPO SPACs'!Q827</f>
        <v/>
      </c>
      <c r="I826" s="97" t="str">
        <f>'Active and Pre-IPO SPACs'!K827</f>
        <v/>
      </c>
    </row>
    <row r="827">
      <c r="A827" s="103" t="str">
        <f>'Active and Pre-IPO SPACs'!A828</f>
        <v/>
      </c>
      <c r="B827" s="95" t="str">
        <f>'Active and Pre-IPO SPACs'!B828</f>
        <v/>
      </c>
      <c r="C827" s="95" t="str">
        <f>'Active and Pre-IPO SPACs'!C828</f>
        <v/>
      </c>
      <c r="D827" s="91" t="str">
        <f>'Active and Pre-IPO SPACs'!D828</f>
        <v/>
      </c>
      <c r="E827" s="96" t="str">
        <f>'Active and Pre-IPO SPACs'!E828</f>
        <v/>
      </c>
      <c r="F827" s="97" t="str">
        <f>'Active and Pre-IPO SPACs'!F828</f>
        <v/>
      </c>
      <c r="G827" s="98" t="str">
        <f>'Active and Pre-IPO SPACs'!P828</f>
        <v/>
      </c>
      <c r="H827" s="99" t="str">
        <f>'Active and Pre-IPO SPACs'!Q828</f>
        <v/>
      </c>
      <c r="I827" s="97" t="str">
        <f>'Active and Pre-IPO SPACs'!K828</f>
        <v/>
      </c>
    </row>
    <row r="828">
      <c r="A828" s="103" t="str">
        <f>'Active and Pre-IPO SPACs'!A829</f>
        <v/>
      </c>
      <c r="B828" s="95" t="str">
        <f>'Active and Pre-IPO SPACs'!B829</f>
        <v/>
      </c>
      <c r="C828" s="95" t="str">
        <f>'Active and Pre-IPO SPACs'!C829</f>
        <v/>
      </c>
      <c r="D828" s="91" t="str">
        <f>'Active and Pre-IPO SPACs'!D829</f>
        <v/>
      </c>
      <c r="E828" s="96" t="str">
        <f>'Active and Pre-IPO SPACs'!E829</f>
        <v/>
      </c>
      <c r="F828" s="97" t="str">
        <f>'Active and Pre-IPO SPACs'!F829</f>
        <v/>
      </c>
      <c r="G828" s="98" t="str">
        <f>'Active and Pre-IPO SPACs'!P829</f>
        <v/>
      </c>
      <c r="H828" s="99" t="str">
        <f>'Active and Pre-IPO SPACs'!Q829</f>
        <v/>
      </c>
      <c r="I828" s="97" t="str">
        <f>'Active and Pre-IPO SPACs'!K829</f>
        <v/>
      </c>
    </row>
    <row r="829">
      <c r="A829" s="103" t="str">
        <f>'Active and Pre-IPO SPACs'!A830</f>
        <v/>
      </c>
      <c r="B829" s="95" t="str">
        <f>'Active and Pre-IPO SPACs'!B830</f>
        <v/>
      </c>
      <c r="C829" s="95" t="str">
        <f>'Active and Pre-IPO SPACs'!C830</f>
        <v/>
      </c>
      <c r="D829" s="91" t="str">
        <f>'Active and Pre-IPO SPACs'!D830</f>
        <v/>
      </c>
      <c r="E829" s="96" t="str">
        <f>'Active and Pre-IPO SPACs'!E830</f>
        <v/>
      </c>
      <c r="F829" s="97" t="str">
        <f>'Active and Pre-IPO SPACs'!F830</f>
        <v/>
      </c>
      <c r="G829" s="98" t="str">
        <f>'Active and Pre-IPO SPACs'!P830</f>
        <v/>
      </c>
      <c r="H829" s="99" t="str">
        <f>'Active and Pre-IPO SPACs'!Q830</f>
        <v/>
      </c>
      <c r="I829" s="97" t="str">
        <f>'Active and Pre-IPO SPACs'!K830</f>
        <v/>
      </c>
    </row>
    <row r="830">
      <c r="A830" s="103" t="str">
        <f>'Active and Pre-IPO SPACs'!A831</f>
        <v/>
      </c>
      <c r="B830" s="95" t="str">
        <f>'Active and Pre-IPO SPACs'!B831</f>
        <v/>
      </c>
      <c r="C830" s="95" t="str">
        <f>'Active and Pre-IPO SPACs'!C831</f>
        <v/>
      </c>
      <c r="D830" s="91" t="str">
        <f>'Active and Pre-IPO SPACs'!D831</f>
        <v/>
      </c>
      <c r="E830" s="96" t="str">
        <f>'Active and Pre-IPO SPACs'!E831</f>
        <v/>
      </c>
      <c r="F830" s="97" t="str">
        <f>'Active and Pre-IPO SPACs'!F831</f>
        <v/>
      </c>
      <c r="G830" s="98" t="str">
        <f>'Active and Pre-IPO SPACs'!P831</f>
        <v/>
      </c>
      <c r="H830" s="99" t="str">
        <f>'Active and Pre-IPO SPACs'!Q831</f>
        <v/>
      </c>
      <c r="I830" s="97" t="str">
        <f>'Active and Pre-IPO SPACs'!K831</f>
        <v/>
      </c>
    </row>
    <row r="831">
      <c r="A831" s="103" t="str">
        <f>'Active and Pre-IPO SPACs'!A832</f>
        <v/>
      </c>
      <c r="B831" s="95" t="str">
        <f>'Active and Pre-IPO SPACs'!B832</f>
        <v/>
      </c>
      <c r="C831" s="95" t="str">
        <f>'Active and Pre-IPO SPACs'!C832</f>
        <v/>
      </c>
      <c r="D831" s="91" t="str">
        <f>'Active and Pre-IPO SPACs'!D832</f>
        <v/>
      </c>
      <c r="E831" s="96" t="str">
        <f>'Active and Pre-IPO SPACs'!E832</f>
        <v/>
      </c>
      <c r="F831" s="97" t="str">
        <f>'Active and Pre-IPO SPACs'!F832</f>
        <v/>
      </c>
      <c r="G831" s="98" t="str">
        <f>'Active and Pre-IPO SPACs'!P832</f>
        <v/>
      </c>
      <c r="H831" s="99" t="str">
        <f>'Active and Pre-IPO SPACs'!Q832</f>
        <v/>
      </c>
      <c r="I831" s="97" t="str">
        <f>'Active and Pre-IPO SPACs'!K832</f>
        <v/>
      </c>
    </row>
    <row r="832">
      <c r="A832" s="103" t="str">
        <f>'Active and Pre-IPO SPACs'!A833</f>
        <v/>
      </c>
      <c r="B832" s="95" t="str">
        <f>'Active and Pre-IPO SPACs'!B833</f>
        <v/>
      </c>
      <c r="C832" s="95" t="str">
        <f>'Active and Pre-IPO SPACs'!C833</f>
        <v/>
      </c>
      <c r="D832" s="91" t="str">
        <f>'Active and Pre-IPO SPACs'!D833</f>
        <v/>
      </c>
      <c r="E832" s="96" t="str">
        <f>'Active and Pre-IPO SPACs'!E833</f>
        <v/>
      </c>
      <c r="F832" s="97" t="str">
        <f>'Active and Pre-IPO SPACs'!F833</f>
        <v/>
      </c>
      <c r="G832" s="98" t="str">
        <f>'Active and Pre-IPO SPACs'!P833</f>
        <v/>
      </c>
      <c r="H832" s="99" t="str">
        <f>'Active and Pre-IPO SPACs'!Q833</f>
        <v/>
      </c>
      <c r="I832" s="97" t="str">
        <f>'Active and Pre-IPO SPACs'!K833</f>
        <v/>
      </c>
    </row>
    <row r="833">
      <c r="A833" s="103" t="str">
        <f>'Active and Pre-IPO SPACs'!A834</f>
        <v/>
      </c>
      <c r="B833" s="95" t="str">
        <f>'Active and Pre-IPO SPACs'!B834</f>
        <v/>
      </c>
      <c r="C833" s="95" t="str">
        <f>'Active and Pre-IPO SPACs'!C834</f>
        <v/>
      </c>
      <c r="D833" s="91" t="str">
        <f>'Active and Pre-IPO SPACs'!D834</f>
        <v/>
      </c>
      <c r="E833" s="96" t="str">
        <f>'Active and Pre-IPO SPACs'!E834</f>
        <v/>
      </c>
      <c r="F833" s="97" t="str">
        <f>'Active and Pre-IPO SPACs'!F834</f>
        <v/>
      </c>
      <c r="G833" s="98" t="str">
        <f>'Active and Pre-IPO SPACs'!P834</f>
        <v/>
      </c>
      <c r="H833" s="99" t="str">
        <f>'Active and Pre-IPO SPACs'!Q834</f>
        <v/>
      </c>
      <c r="I833" s="97" t="str">
        <f>'Active and Pre-IPO SPACs'!K834</f>
        <v/>
      </c>
    </row>
    <row r="834">
      <c r="A834" s="103" t="str">
        <f>'Active and Pre-IPO SPACs'!A835</f>
        <v/>
      </c>
      <c r="B834" s="95" t="str">
        <f>'Active and Pre-IPO SPACs'!B835</f>
        <v/>
      </c>
      <c r="C834" s="95" t="str">
        <f>'Active and Pre-IPO SPACs'!C835</f>
        <v/>
      </c>
      <c r="D834" s="91" t="str">
        <f>'Active and Pre-IPO SPACs'!D835</f>
        <v/>
      </c>
      <c r="E834" s="96" t="str">
        <f>'Active and Pre-IPO SPACs'!E835</f>
        <v/>
      </c>
      <c r="F834" s="97" t="str">
        <f>'Active and Pre-IPO SPACs'!F835</f>
        <v/>
      </c>
      <c r="G834" s="98" t="str">
        <f>'Active and Pre-IPO SPACs'!P835</f>
        <v/>
      </c>
      <c r="H834" s="99" t="str">
        <f>'Active and Pre-IPO SPACs'!Q835</f>
        <v/>
      </c>
      <c r="I834" s="97" t="str">
        <f>'Active and Pre-IPO SPACs'!K835</f>
        <v/>
      </c>
    </row>
    <row r="835">
      <c r="A835" s="103" t="str">
        <f>'Active and Pre-IPO SPACs'!A836</f>
        <v/>
      </c>
      <c r="B835" s="95" t="str">
        <f>'Active and Pre-IPO SPACs'!B836</f>
        <v/>
      </c>
      <c r="C835" s="95" t="str">
        <f>'Active and Pre-IPO SPACs'!C836</f>
        <v/>
      </c>
      <c r="D835" s="91" t="str">
        <f>'Active and Pre-IPO SPACs'!D836</f>
        <v/>
      </c>
      <c r="E835" s="96" t="str">
        <f>'Active and Pre-IPO SPACs'!E836</f>
        <v/>
      </c>
      <c r="F835" s="97" t="str">
        <f>'Active and Pre-IPO SPACs'!F836</f>
        <v/>
      </c>
      <c r="G835" s="98" t="str">
        <f>'Active and Pre-IPO SPACs'!P836</f>
        <v/>
      </c>
      <c r="H835" s="99" t="str">
        <f>'Active and Pre-IPO SPACs'!Q836</f>
        <v/>
      </c>
      <c r="I835" s="97" t="str">
        <f>'Active and Pre-IPO SPACs'!K836</f>
        <v/>
      </c>
    </row>
    <row r="836">
      <c r="A836" s="103" t="str">
        <f>'Active and Pre-IPO SPACs'!A837</f>
        <v/>
      </c>
      <c r="B836" s="95" t="str">
        <f>'Active and Pre-IPO SPACs'!B837</f>
        <v/>
      </c>
      <c r="C836" s="95" t="str">
        <f>'Active and Pre-IPO SPACs'!C837</f>
        <v/>
      </c>
      <c r="D836" s="91" t="str">
        <f>'Active and Pre-IPO SPACs'!D837</f>
        <v/>
      </c>
      <c r="E836" s="96" t="str">
        <f>'Active and Pre-IPO SPACs'!E837</f>
        <v/>
      </c>
      <c r="F836" s="97" t="str">
        <f>'Active and Pre-IPO SPACs'!F837</f>
        <v/>
      </c>
      <c r="G836" s="98" t="str">
        <f>'Active and Pre-IPO SPACs'!P837</f>
        <v/>
      </c>
      <c r="H836" s="99" t="str">
        <f>'Active and Pre-IPO SPACs'!Q837</f>
        <v/>
      </c>
      <c r="I836" s="97" t="str">
        <f>'Active and Pre-IPO SPACs'!K837</f>
        <v/>
      </c>
    </row>
    <row r="837">
      <c r="A837" s="103" t="str">
        <f>'Active and Pre-IPO SPACs'!A838</f>
        <v/>
      </c>
      <c r="B837" s="95" t="str">
        <f>'Active and Pre-IPO SPACs'!B838</f>
        <v/>
      </c>
      <c r="C837" s="95" t="str">
        <f>'Active and Pre-IPO SPACs'!C838</f>
        <v/>
      </c>
      <c r="D837" s="91" t="str">
        <f>'Active and Pre-IPO SPACs'!D838</f>
        <v/>
      </c>
      <c r="E837" s="96" t="str">
        <f>'Active and Pre-IPO SPACs'!E838</f>
        <v/>
      </c>
      <c r="F837" s="97" t="str">
        <f>'Active and Pre-IPO SPACs'!F838</f>
        <v/>
      </c>
      <c r="G837" s="98" t="str">
        <f>'Active and Pre-IPO SPACs'!P838</f>
        <v/>
      </c>
      <c r="H837" s="99" t="str">
        <f>'Active and Pre-IPO SPACs'!Q838</f>
        <v/>
      </c>
      <c r="I837" s="97" t="str">
        <f>'Active and Pre-IPO SPACs'!K838</f>
        <v/>
      </c>
    </row>
    <row r="838">
      <c r="A838" s="103" t="str">
        <f>'Active and Pre-IPO SPACs'!A839</f>
        <v/>
      </c>
      <c r="B838" s="95" t="str">
        <f>'Active and Pre-IPO SPACs'!B839</f>
        <v/>
      </c>
      <c r="C838" s="95" t="str">
        <f>'Active and Pre-IPO SPACs'!C839</f>
        <v/>
      </c>
      <c r="D838" s="91" t="str">
        <f>'Active and Pre-IPO SPACs'!D839</f>
        <v/>
      </c>
      <c r="E838" s="96" t="str">
        <f>'Active and Pre-IPO SPACs'!E839</f>
        <v/>
      </c>
      <c r="F838" s="97" t="str">
        <f>'Active and Pre-IPO SPACs'!F839</f>
        <v/>
      </c>
      <c r="G838" s="98" t="str">
        <f>'Active and Pre-IPO SPACs'!P839</f>
        <v/>
      </c>
      <c r="H838" s="99" t="str">
        <f>'Active and Pre-IPO SPACs'!Q839</f>
        <v/>
      </c>
      <c r="I838" s="97" t="str">
        <f>'Active and Pre-IPO SPACs'!K839</f>
        <v/>
      </c>
    </row>
    <row r="839">
      <c r="A839" s="103" t="str">
        <f>'Active and Pre-IPO SPACs'!A840</f>
        <v/>
      </c>
      <c r="B839" s="95" t="str">
        <f>'Active and Pre-IPO SPACs'!B840</f>
        <v/>
      </c>
      <c r="C839" s="95" t="str">
        <f>'Active and Pre-IPO SPACs'!C840</f>
        <v/>
      </c>
      <c r="D839" s="91" t="str">
        <f>'Active and Pre-IPO SPACs'!D840</f>
        <v/>
      </c>
      <c r="E839" s="96" t="str">
        <f>'Active and Pre-IPO SPACs'!E840</f>
        <v/>
      </c>
      <c r="F839" s="97" t="str">
        <f>'Active and Pre-IPO SPACs'!F840</f>
        <v/>
      </c>
      <c r="G839" s="98" t="str">
        <f>'Active and Pre-IPO SPACs'!P840</f>
        <v/>
      </c>
      <c r="H839" s="99" t="str">
        <f>'Active and Pre-IPO SPACs'!Q840</f>
        <v/>
      </c>
      <c r="I839" s="97" t="str">
        <f>'Active and Pre-IPO SPACs'!K840</f>
        <v/>
      </c>
    </row>
    <row r="840">
      <c r="A840" s="103" t="str">
        <f>'Active and Pre-IPO SPACs'!A841</f>
        <v/>
      </c>
      <c r="B840" s="95" t="str">
        <f>'Active and Pre-IPO SPACs'!B841</f>
        <v/>
      </c>
      <c r="C840" s="95" t="str">
        <f>'Active and Pre-IPO SPACs'!C841</f>
        <v/>
      </c>
      <c r="D840" s="91" t="str">
        <f>'Active and Pre-IPO SPACs'!D841</f>
        <v/>
      </c>
      <c r="E840" s="96" t="str">
        <f>'Active and Pre-IPO SPACs'!E841</f>
        <v/>
      </c>
      <c r="F840" s="97" t="str">
        <f>'Active and Pre-IPO SPACs'!F841</f>
        <v/>
      </c>
      <c r="G840" s="98" t="str">
        <f>'Active and Pre-IPO SPACs'!P841</f>
        <v/>
      </c>
      <c r="H840" s="99" t="str">
        <f>'Active and Pre-IPO SPACs'!Q841</f>
        <v/>
      </c>
      <c r="I840" s="97" t="str">
        <f>'Active and Pre-IPO SPACs'!K841</f>
        <v/>
      </c>
    </row>
    <row r="841">
      <c r="A841" s="103" t="str">
        <f>'Active and Pre-IPO SPACs'!A842</f>
        <v/>
      </c>
      <c r="B841" s="95" t="str">
        <f>'Active and Pre-IPO SPACs'!B842</f>
        <v/>
      </c>
      <c r="C841" s="95" t="str">
        <f>'Active and Pre-IPO SPACs'!C842</f>
        <v/>
      </c>
      <c r="D841" s="91" t="str">
        <f>'Active and Pre-IPO SPACs'!D842</f>
        <v/>
      </c>
      <c r="E841" s="96" t="str">
        <f>'Active and Pre-IPO SPACs'!E842</f>
        <v/>
      </c>
      <c r="F841" s="97" t="str">
        <f>'Active and Pre-IPO SPACs'!F842</f>
        <v/>
      </c>
      <c r="G841" s="98" t="str">
        <f>'Active and Pre-IPO SPACs'!P842</f>
        <v/>
      </c>
      <c r="H841" s="99" t="str">
        <f>'Active and Pre-IPO SPACs'!Q842</f>
        <v/>
      </c>
      <c r="I841" s="97" t="str">
        <f>'Active and Pre-IPO SPACs'!K842</f>
        <v/>
      </c>
    </row>
    <row r="842">
      <c r="A842" s="103" t="str">
        <f>'Active and Pre-IPO SPACs'!A843</f>
        <v/>
      </c>
      <c r="B842" s="95" t="str">
        <f>'Active and Pre-IPO SPACs'!B843</f>
        <v/>
      </c>
      <c r="C842" s="95" t="str">
        <f>'Active and Pre-IPO SPACs'!C843</f>
        <v/>
      </c>
      <c r="D842" s="91" t="str">
        <f>'Active and Pre-IPO SPACs'!D843</f>
        <v/>
      </c>
      <c r="E842" s="96" t="str">
        <f>'Active and Pre-IPO SPACs'!E843</f>
        <v/>
      </c>
      <c r="F842" s="97" t="str">
        <f>'Active and Pre-IPO SPACs'!F843</f>
        <v/>
      </c>
      <c r="G842" s="98" t="str">
        <f>'Active and Pre-IPO SPACs'!P843</f>
        <v/>
      </c>
      <c r="H842" s="99" t="str">
        <f>'Active and Pre-IPO SPACs'!Q843</f>
        <v/>
      </c>
      <c r="I842" s="97" t="str">
        <f>'Active and Pre-IPO SPACs'!K843</f>
        <v/>
      </c>
    </row>
    <row r="843">
      <c r="A843" s="103" t="str">
        <f>'Active and Pre-IPO SPACs'!A844</f>
        <v/>
      </c>
      <c r="B843" s="95" t="str">
        <f>'Active and Pre-IPO SPACs'!B844</f>
        <v/>
      </c>
      <c r="C843" s="95" t="str">
        <f>'Active and Pre-IPO SPACs'!C844</f>
        <v/>
      </c>
      <c r="D843" s="91" t="str">
        <f>'Active and Pre-IPO SPACs'!D844</f>
        <v/>
      </c>
      <c r="E843" s="96" t="str">
        <f>'Active and Pre-IPO SPACs'!E844</f>
        <v/>
      </c>
      <c r="F843" s="97" t="str">
        <f>'Active and Pre-IPO SPACs'!F844</f>
        <v/>
      </c>
      <c r="G843" s="98" t="str">
        <f>'Active and Pre-IPO SPACs'!P844</f>
        <v/>
      </c>
      <c r="H843" s="99" t="str">
        <f>'Active and Pre-IPO SPACs'!Q844</f>
        <v/>
      </c>
      <c r="I843" s="97" t="str">
        <f>'Active and Pre-IPO SPACs'!K844</f>
        <v/>
      </c>
    </row>
    <row r="844">
      <c r="A844" s="103" t="str">
        <f>'Active and Pre-IPO SPACs'!A845</f>
        <v/>
      </c>
      <c r="B844" s="95" t="str">
        <f>'Active and Pre-IPO SPACs'!B845</f>
        <v/>
      </c>
      <c r="C844" s="95" t="str">
        <f>'Active and Pre-IPO SPACs'!C845</f>
        <v/>
      </c>
      <c r="D844" s="91" t="str">
        <f>'Active and Pre-IPO SPACs'!D845</f>
        <v/>
      </c>
      <c r="E844" s="96" t="str">
        <f>'Active and Pre-IPO SPACs'!E845</f>
        <v/>
      </c>
      <c r="F844" s="97" t="str">
        <f>'Active and Pre-IPO SPACs'!F845</f>
        <v/>
      </c>
      <c r="G844" s="98" t="str">
        <f>'Active and Pre-IPO SPACs'!P845</f>
        <v/>
      </c>
      <c r="H844" s="99" t="str">
        <f>'Active and Pre-IPO SPACs'!Q845</f>
        <v/>
      </c>
      <c r="I844" s="97" t="str">
        <f>'Active and Pre-IPO SPACs'!K845</f>
        <v/>
      </c>
    </row>
    <row r="845">
      <c r="A845" s="103" t="str">
        <f>'Active and Pre-IPO SPACs'!A846</f>
        <v/>
      </c>
      <c r="B845" s="91" t="str">
        <f>'Active and Pre-IPO SPACs'!B846</f>
        <v/>
      </c>
      <c r="C845" s="91" t="str">
        <f>'Active and Pre-IPO SPACs'!C846</f>
        <v/>
      </c>
      <c r="D845" s="91" t="str">
        <f>'Active and Pre-IPO SPACs'!D846</f>
        <v/>
      </c>
      <c r="E845" s="91" t="str">
        <f>'Active and Pre-IPO SPACs'!E846</f>
        <v/>
      </c>
      <c r="F845" s="91" t="str">
        <f>'Active and Pre-IPO SPACs'!F846</f>
        <v/>
      </c>
      <c r="G845" s="103" t="str">
        <f>'Active and Pre-IPO SPACs'!P846</f>
        <v/>
      </c>
      <c r="H845" s="103" t="str">
        <f>'Active and Pre-IPO SPACs'!Q846</f>
        <v/>
      </c>
      <c r="I845" s="91" t="str">
        <f>'Active and Pre-IPO SPACs'!K846</f>
        <v/>
      </c>
    </row>
    <row r="846">
      <c r="A846" s="103" t="str">
        <f>'Active and Pre-IPO SPACs'!A847</f>
        <v/>
      </c>
      <c r="B846" s="91" t="str">
        <f>'Active and Pre-IPO SPACs'!B847</f>
        <v/>
      </c>
      <c r="C846" s="91" t="str">
        <f>'Active and Pre-IPO SPACs'!C847</f>
        <v/>
      </c>
      <c r="D846" s="91" t="str">
        <f>'Active and Pre-IPO SPACs'!D847</f>
        <v/>
      </c>
      <c r="E846" s="91" t="str">
        <f>'Active and Pre-IPO SPACs'!E847</f>
        <v/>
      </c>
      <c r="F846" s="91" t="str">
        <f>'Active and Pre-IPO SPACs'!F847</f>
        <v/>
      </c>
      <c r="G846" s="103" t="str">
        <f>'Active and Pre-IPO SPACs'!P847</f>
        <v/>
      </c>
      <c r="H846" s="103" t="str">
        <f>'Active and Pre-IPO SPACs'!Q847</f>
        <v/>
      </c>
      <c r="I846" s="91" t="str">
        <f>'Active and Pre-IPO SPACs'!K847</f>
        <v/>
      </c>
    </row>
    <row r="847">
      <c r="A847" s="103" t="str">
        <f>'Active and Pre-IPO SPACs'!A848</f>
        <v/>
      </c>
      <c r="B847" s="91" t="str">
        <f>'Active and Pre-IPO SPACs'!B848</f>
        <v/>
      </c>
      <c r="C847" s="91" t="str">
        <f>'Active and Pre-IPO SPACs'!C848</f>
        <v/>
      </c>
      <c r="D847" s="91" t="str">
        <f>'Active and Pre-IPO SPACs'!D848</f>
        <v/>
      </c>
      <c r="E847" s="91" t="str">
        <f>'Active and Pre-IPO SPACs'!E848</f>
        <v/>
      </c>
      <c r="F847" s="91" t="str">
        <f>'Active and Pre-IPO SPACs'!F848</f>
        <v/>
      </c>
      <c r="G847" s="103" t="str">
        <f>'Active and Pre-IPO SPACs'!P848</f>
        <v/>
      </c>
      <c r="H847" s="103" t="str">
        <f>'Active and Pre-IPO SPACs'!Q848</f>
        <v/>
      </c>
      <c r="I847" s="91" t="str">
        <f>'Active and Pre-IPO SPACs'!K848</f>
        <v/>
      </c>
    </row>
    <row r="848">
      <c r="A848" s="103" t="str">
        <f>'Active and Pre-IPO SPACs'!A849</f>
        <v/>
      </c>
      <c r="B848" s="91" t="str">
        <f>'Active and Pre-IPO SPACs'!B849</f>
        <v/>
      </c>
      <c r="C848" s="91" t="str">
        <f>'Active and Pre-IPO SPACs'!C849</f>
        <v/>
      </c>
      <c r="D848" s="91" t="str">
        <f>'Active and Pre-IPO SPACs'!D849</f>
        <v/>
      </c>
      <c r="E848" s="91" t="str">
        <f>'Active and Pre-IPO SPACs'!E849</f>
        <v/>
      </c>
      <c r="F848" s="91" t="str">
        <f>'Active and Pre-IPO SPACs'!F849</f>
        <v/>
      </c>
      <c r="G848" s="103" t="str">
        <f>'Active and Pre-IPO SPACs'!P849</f>
        <v/>
      </c>
      <c r="H848" s="103" t="str">
        <f>'Active and Pre-IPO SPACs'!Q849</f>
        <v/>
      </c>
      <c r="I848" s="91" t="str">
        <f>'Active and Pre-IPO SPACs'!K849</f>
        <v/>
      </c>
    </row>
    <row r="849">
      <c r="A849" s="103" t="str">
        <f>'Active and Pre-IPO SPACs'!A850</f>
        <v/>
      </c>
      <c r="B849" s="91" t="str">
        <f>'Active and Pre-IPO SPACs'!B850</f>
        <v/>
      </c>
      <c r="C849" s="91" t="str">
        <f>'Active and Pre-IPO SPACs'!C850</f>
        <v/>
      </c>
      <c r="D849" s="91" t="str">
        <f>'Active and Pre-IPO SPACs'!D850</f>
        <v/>
      </c>
      <c r="E849" s="91" t="str">
        <f>'Active and Pre-IPO SPACs'!E850</f>
        <v/>
      </c>
      <c r="F849" s="91" t="str">
        <f>'Active and Pre-IPO SPACs'!F850</f>
        <v/>
      </c>
      <c r="G849" s="103" t="str">
        <f>'Active and Pre-IPO SPACs'!P850</f>
        <v/>
      </c>
      <c r="H849" s="103" t="str">
        <f>'Active and Pre-IPO SPACs'!Q850</f>
        <v/>
      </c>
      <c r="I849" s="91" t="str">
        <f>'Active and Pre-IPO SPACs'!K850</f>
        <v/>
      </c>
    </row>
    <row r="850">
      <c r="A850" s="103" t="str">
        <f>'Active and Pre-IPO SPACs'!A851</f>
        <v/>
      </c>
      <c r="B850" s="91" t="str">
        <f>'Active and Pre-IPO SPACs'!B851</f>
        <v/>
      </c>
      <c r="C850" s="91" t="str">
        <f>'Active and Pre-IPO SPACs'!C851</f>
        <v/>
      </c>
      <c r="D850" s="91" t="str">
        <f>'Active and Pre-IPO SPACs'!D851</f>
        <v/>
      </c>
      <c r="E850" s="91" t="str">
        <f>'Active and Pre-IPO SPACs'!E851</f>
        <v/>
      </c>
      <c r="F850" s="91" t="str">
        <f>'Active and Pre-IPO SPACs'!F851</f>
        <v/>
      </c>
      <c r="G850" s="103" t="str">
        <f>'Active and Pre-IPO SPACs'!P851</f>
        <v/>
      </c>
      <c r="H850" s="103" t="str">
        <f>'Active and Pre-IPO SPACs'!Q851</f>
        <v/>
      </c>
      <c r="I850" s="91" t="str">
        <f>'Active and Pre-IPO SPACs'!K851</f>
        <v/>
      </c>
    </row>
    <row r="851">
      <c r="A851" s="103" t="str">
        <f>'Active and Pre-IPO SPACs'!A852</f>
        <v/>
      </c>
      <c r="B851" s="91" t="str">
        <f>'Active and Pre-IPO SPACs'!B852</f>
        <v/>
      </c>
      <c r="C851" s="91" t="str">
        <f>'Active and Pre-IPO SPACs'!C852</f>
        <v/>
      </c>
      <c r="D851" s="91" t="str">
        <f>'Active and Pre-IPO SPACs'!D852</f>
        <v/>
      </c>
      <c r="E851" s="91" t="str">
        <f>'Active and Pre-IPO SPACs'!E852</f>
        <v/>
      </c>
      <c r="F851" s="91" t="str">
        <f>'Active and Pre-IPO SPACs'!F852</f>
        <v/>
      </c>
      <c r="G851" s="103" t="str">
        <f>'Active and Pre-IPO SPACs'!P852</f>
        <v/>
      </c>
      <c r="H851" s="103" t="str">
        <f>'Active and Pre-IPO SPACs'!Q852</f>
        <v/>
      </c>
      <c r="I851" s="91" t="str">
        <f>'Active and Pre-IPO SPACs'!K852</f>
        <v/>
      </c>
    </row>
    <row r="852">
      <c r="A852" s="103" t="str">
        <f>'Active and Pre-IPO SPACs'!A853</f>
        <v/>
      </c>
      <c r="B852" s="91" t="str">
        <f>'Active and Pre-IPO SPACs'!B853</f>
        <v/>
      </c>
      <c r="C852" s="91" t="str">
        <f>'Active and Pre-IPO SPACs'!C853</f>
        <v/>
      </c>
      <c r="D852" s="91" t="str">
        <f>'Active and Pre-IPO SPACs'!D853</f>
        <v/>
      </c>
      <c r="E852" s="91" t="str">
        <f>'Active and Pre-IPO SPACs'!E853</f>
        <v/>
      </c>
      <c r="F852" s="91" t="str">
        <f>'Active and Pre-IPO SPACs'!F853</f>
        <v/>
      </c>
      <c r="G852" s="103" t="str">
        <f>'Active and Pre-IPO SPACs'!P853</f>
        <v/>
      </c>
      <c r="H852" s="103" t="str">
        <f>'Active and Pre-IPO SPACs'!Q853</f>
        <v/>
      </c>
      <c r="I852" s="91" t="str">
        <f>'Active and Pre-IPO SPACs'!K853</f>
        <v/>
      </c>
    </row>
    <row r="853">
      <c r="A853" s="103" t="str">
        <f>'Active and Pre-IPO SPACs'!A854</f>
        <v/>
      </c>
      <c r="B853" s="91" t="str">
        <f>'Active and Pre-IPO SPACs'!B854</f>
        <v/>
      </c>
      <c r="C853" s="91" t="str">
        <f>'Active and Pre-IPO SPACs'!C854</f>
        <v/>
      </c>
      <c r="D853" s="91" t="str">
        <f>'Active and Pre-IPO SPACs'!D854</f>
        <v/>
      </c>
      <c r="E853" s="91" t="str">
        <f>'Active and Pre-IPO SPACs'!E854</f>
        <v/>
      </c>
      <c r="F853" s="91" t="str">
        <f>'Active and Pre-IPO SPACs'!F854</f>
        <v/>
      </c>
      <c r="G853" s="103" t="str">
        <f>'Active and Pre-IPO SPACs'!P854</f>
        <v/>
      </c>
      <c r="H853" s="103" t="str">
        <f>'Active and Pre-IPO SPACs'!Q854</f>
        <v/>
      </c>
      <c r="I853" s="91" t="str">
        <f>'Active and Pre-IPO SPACs'!K854</f>
        <v/>
      </c>
    </row>
    <row r="854">
      <c r="A854" s="103" t="str">
        <f>'Active and Pre-IPO SPACs'!A855</f>
        <v/>
      </c>
      <c r="B854" s="91" t="str">
        <f>'Active and Pre-IPO SPACs'!B855</f>
        <v/>
      </c>
      <c r="C854" s="91" t="str">
        <f>'Active and Pre-IPO SPACs'!C855</f>
        <v/>
      </c>
      <c r="D854" s="91" t="str">
        <f>'Active and Pre-IPO SPACs'!D855</f>
        <v/>
      </c>
      <c r="E854" s="91" t="str">
        <f>'Active and Pre-IPO SPACs'!E855</f>
        <v/>
      </c>
      <c r="F854" s="91" t="str">
        <f>'Active and Pre-IPO SPACs'!F855</f>
        <v/>
      </c>
      <c r="G854" s="103" t="str">
        <f>'Active and Pre-IPO SPACs'!P855</f>
        <v/>
      </c>
      <c r="H854" s="103" t="str">
        <f>'Active and Pre-IPO SPACs'!Q855</f>
        <v/>
      </c>
      <c r="I854" s="91" t="str">
        <f>'Active and Pre-IPO SPACs'!K855</f>
        <v/>
      </c>
    </row>
    <row r="855">
      <c r="A855" s="103" t="str">
        <f>'Active and Pre-IPO SPACs'!A856</f>
        <v/>
      </c>
      <c r="B855" s="91" t="str">
        <f>'Active and Pre-IPO SPACs'!B856</f>
        <v/>
      </c>
      <c r="C855" s="91" t="str">
        <f>'Active and Pre-IPO SPACs'!C856</f>
        <v/>
      </c>
      <c r="D855" s="91" t="str">
        <f>'Active and Pre-IPO SPACs'!D856</f>
        <v/>
      </c>
      <c r="E855" s="91" t="str">
        <f>'Active and Pre-IPO SPACs'!E856</f>
        <v/>
      </c>
      <c r="F855" s="91" t="str">
        <f>'Active and Pre-IPO SPACs'!F856</f>
        <v/>
      </c>
      <c r="G855" s="103" t="str">
        <f>'Active and Pre-IPO SPACs'!P856</f>
        <v/>
      </c>
      <c r="H855" s="103" t="str">
        <f>'Active and Pre-IPO SPACs'!Q856</f>
        <v/>
      </c>
      <c r="I855" s="91" t="str">
        <f>'Active and Pre-IPO SPACs'!K856</f>
        <v/>
      </c>
    </row>
    <row r="856">
      <c r="A856" s="103" t="str">
        <f>'Active and Pre-IPO SPACs'!A857</f>
        <v/>
      </c>
      <c r="B856" s="91" t="str">
        <f>'Active and Pre-IPO SPACs'!B857</f>
        <v/>
      </c>
      <c r="C856" s="91" t="str">
        <f>'Active and Pre-IPO SPACs'!C857</f>
        <v/>
      </c>
      <c r="D856" s="91" t="str">
        <f>'Active and Pre-IPO SPACs'!D857</f>
        <v/>
      </c>
      <c r="E856" s="91" t="str">
        <f>'Active and Pre-IPO SPACs'!E857</f>
        <v/>
      </c>
      <c r="F856" s="91" t="str">
        <f>'Active and Pre-IPO SPACs'!F857</f>
        <v/>
      </c>
      <c r="G856" s="103" t="str">
        <f>'Active and Pre-IPO SPACs'!P857</f>
        <v/>
      </c>
      <c r="H856" s="103" t="str">
        <f>'Active and Pre-IPO SPACs'!Q857</f>
        <v/>
      </c>
      <c r="I856" s="91" t="str">
        <f>'Active and Pre-IPO SPACs'!K857</f>
        <v/>
      </c>
    </row>
    <row r="857">
      <c r="A857" s="103" t="str">
        <f>'Active and Pre-IPO SPACs'!A858</f>
        <v/>
      </c>
      <c r="B857" s="91" t="str">
        <f>'Active and Pre-IPO SPACs'!B858</f>
        <v/>
      </c>
      <c r="C857" s="91" t="str">
        <f>'Active and Pre-IPO SPACs'!C858</f>
        <v/>
      </c>
      <c r="D857" s="91" t="str">
        <f>'Active and Pre-IPO SPACs'!D858</f>
        <v/>
      </c>
      <c r="E857" s="91" t="str">
        <f>'Active and Pre-IPO SPACs'!E858</f>
        <v/>
      </c>
      <c r="F857" s="91" t="str">
        <f>'Active and Pre-IPO SPACs'!F858</f>
        <v/>
      </c>
      <c r="G857" s="103" t="str">
        <f>'Active and Pre-IPO SPACs'!P858</f>
        <v/>
      </c>
      <c r="H857" s="103" t="str">
        <f>'Active and Pre-IPO SPACs'!Q858</f>
        <v/>
      </c>
      <c r="I857" s="91" t="str">
        <f>'Active and Pre-IPO SPACs'!K858</f>
        <v/>
      </c>
    </row>
    <row r="858">
      <c r="A858" s="103" t="str">
        <f>'Active and Pre-IPO SPACs'!A859</f>
        <v/>
      </c>
      <c r="B858" s="91" t="str">
        <f>'Active and Pre-IPO SPACs'!B859</f>
        <v/>
      </c>
      <c r="C858" s="91" t="str">
        <f>'Active and Pre-IPO SPACs'!C859</f>
        <v/>
      </c>
      <c r="D858" s="91" t="str">
        <f>'Active and Pre-IPO SPACs'!D859</f>
        <v/>
      </c>
      <c r="E858" s="91" t="str">
        <f>'Active and Pre-IPO SPACs'!E859</f>
        <v/>
      </c>
      <c r="F858" s="91" t="str">
        <f>'Active and Pre-IPO SPACs'!F859</f>
        <v/>
      </c>
      <c r="G858" s="103" t="str">
        <f>'Active and Pre-IPO SPACs'!P859</f>
        <v/>
      </c>
      <c r="H858" s="103" t="str">
        <f>'Active and Pre-IPO SPACs'!Q859</f>
        <v/>
      </c>
      <c r="I858" s="91" t="str">
        <f>'Active and Pre-IPO SPACs'!K859</f>
        <v/>
      </c>
    </row>
    <row r="859">
      <c r="A859" s="103" t="str">
        <f>'Active and Pre-IPO SPACs'!A860</f>
        <v/>
      </c>
      <c r="B859" s="91" t="str">
        <f>'Active and Pre-IPO SPACs'!B860</f>
        <v/>
      </c>
      <c r="C859" s="91" t="str">
        <f>'Active and Pre-IPO SPACs'!C860</f>
        <v/>
      </c>
      <c r="D859" s="91" t="str">
        <f>'Active and Pre-IPO SPACs'!D860</f>
        <v/>
      </c>
      <c r="E859" s="91" t="str">
        <f>'Active and Pre-IPO SPACs'!E860</f>
        <v/>
      </c>
      <c r="F859" s="91" t="str">
        <f>'Active and Pre-IPO SPACs'!F860</f>
        <v/>
      </c>
      <c r="G859" s="103" t="str">
        <f>'Active and Pre-IPO SPACs'!P860</f>
        <v/>
      </c>
      <c r="H859" s="103" t="str">
        <f>'Active and Pre-IPO SPACs'!Q860</f>
        <v/>
      </c>
      <c r="I859" s="91" t="str">
        <f>'Active and Pre-IPO SPACs'!K860</f>
        <v/>
      </c>
    </row>
    <row r="860">
      <c r="A860" s="103" t="str">
        <f>'Active and Pre-IPO SPACs'!A861</f>
        <v/>
      </c>
      <c r="B860" s="91" t="str">
        <f>'Active and Pre-IPO SPACs'!B861</f>
        <v/>
      </c>
      <c r="C860" s="91" t="str">
        <f>'Active and Pre-IPO SPACs'!C861</f>
        <v/>
      </c>
      <c r="D860" s="91" t="str">
        <f>'Active and Pre-IPO SPACs'!D861</f>
        <v/>
      </c>
      <c r="E860" s="91" t="str">
        <f>'Active and Pre-IPO SPACs'!E861</f>
        <v/>
      </c>
      <c r="F860" s="91" t="str">
        <f>'Active and Pre-IPO SPACs'!F861</f>
        <v/>
      </c>
      <c r="G860" s="103" t="str">
        <f>'Active and Pre-IPO SPACs'!P861</f>
        <v/>
      </c>
      <c r="H860" s="103" t="str">
        <f>'Active and Pre-IPO SPACs'!Q861</f>
        <v/>
      </c>
      <c r="I860" s="91" t="str">
        <f>'Active and Pre-IPO SPACs'!K861</f>
        <v/>
      </c>
    </row>
    <row r="861">
      <c r="A861" s="103" t="str">
        <f>'Active and Pre-IPO SPACs'!A862</f>
        <v/>
      </c>
      <c r="B861" s="91" t="str">
        <f>'Active and Pre-IPO SPACs'!B862</f>
        <v/>
      </c>
      <c r="C861" s="91" t="str">
        <f>'Active and Pre-IPO SPACs'!C862</f>
        <v/>
      </c>
      <c r="D861" s="91" t="str">
        <f>'Active and Pre-IPO SPACs'!D862</f>
        <v/>
      </c>
      <c r="E861" s="91" t="str">
        <f>'Active and Pre-IPO SPACs'!E862</f>
        <v/>
      </c>
      <c r="F861" s="91" t="str">
        <f>'Active and Pre-IPO SPACs'!F862</f>
        <v/>
      </c>
      <c r="G861" s="103" t="str">
        <f>'Active and Pre-IPO SPACs'!P862</f>
        <v/>
      </c>
      <c r="H861" s="103" t="str">
        <f>'Active and Pre-IPO SPACs'!Q862</f>
        <v/>
      </c>
      <c r="I861" s="91" t="str">
        <f>'Active and Pre-IPO SPACs'!K862</f>
        <v/>
      </c>
    </row>
    <row r="862">
      <c r="A862" s="103" t="str">
        <f>'Active and Pre-IPO SPACs'!A863</f>
        <v/>
      </c>
      <c r="B862" s="91" t="str">
        <f>'Active and Pre-IPO SPACs'!B863</f>
        <v/>
      </c>
      <c r="C862" s="91" t="str">
        <f>'Active and Pre-IPO SPACs'!C863</f>
        <v/>
      </c>
      <c r="D862" s="91" t="str">
        <f>'Active and Pre-IPO SPACs'!D863</f>
        <v/>
      </c>
      <c r="E862" s="91" t="str">
        <f>'Active and Pre-IPO SPACs'!E863</f>
        <v/>
      </c>
      <c r="F862" s="91" t="str">
        <f>'Active and Pre-IPO SPACs'!F863</f>
        <v/>
      </c>
      <c r="G862" s="103" t="str">
        <f>'Active and Pre-IPO SPACs'!P863</f>
        <v/>
      </c>
      <c r="H862" s="103" t="str">
        <f>'Active and Pre-IPO SPACs'!Q863</f>
        <v/>
      </c>
      <c r="I862" s="91" t="str">
        <f>'Active and Pre-IPO SPACs'!K863</f>
        <v/>
      </c>
    </row>
    <row r="863">
      <c r="A863" s="103" t="str">
        <f>'Active and Pre-IPO SPACs'!A864</f>
        <v/>
      </c>
      <c r="B863" s="91" t="str">
        <f>'Active and Pre-IPO SPACs'!B864</f>
        <v/>
      </c>
      <c r="C863" s="91" t="str">
        <f>'Active and Pre-IPO SPACs'!C864</f>
        <v/>
      </c>
      <c r="D863" s="91" t="str">
        <f>'Active and Pre-IPO SPACs'!D864</f>
        <v/>
      </c>
      <c r="E863" s="91" t="str">
        <f>'Active and Pre-IPO SPACs'!E864</f>
        <v/>
      </c>
      <c r="F863" s="91" t="str">
        <f>'Active and Pre-IPO SPACs'!F864</f>
        <v/>
      </c>
      <c r="G863" s="103" t="str">
        <f>'Active and Pre-IPO SPACs'!P864</f>
        <v/>
      </c>
      <c r="H863" s="103" t="str">
        <f>'Active and Pre-IPO SPACs'!Q864</f>
        <v/>
      </c>
      <c r="I863" s="91" t="str">
        <f>'Active and Pre-IPO SPACs'!K864</f>
        <v/>
      </c>
    </row>
    <row r="864">
      <c r="A864" s="103" t="str">
        <f>'Active and Pre-IPO SPACs'!A865</f>
        <v/>
      </c>
      <c r="B864" s="91" t="str">
        <f>'Active and Pre-IPO SPACs'!B865</f>
        <v/>
      </c>
      <c r="C864" s="91" t="str">
        <f>'Active and Pre-IPO SPACs'!C865</f>
        <v/>
      </c>
      <c r="D864" s="91" t="str">
        <f>'Active and Pre-IPO SPACs'!D865</f>
        <v/>
      </c>
      <c r="E864" s="91" t="str">
        <f>'Active and Pre-IPO SPACs'!E865</f>
        <v/>
      </c>
      <c r="F864" s="91" t="str">
        <f>'Active and Pre-IPO SPACs'!F865</f>
        <v/>
      </c>
      <c r="G864" s="103" t="str">
        <f>'Active and Pre-IPO SPACs'!P865</f>
        <v/>
      </c>
      <c r="H864" s="103" t="str">
        <f>'Active and Pre-IPO SPACs'!Q865</f>
        <v/>
      </c>
      <c r="I864" s="91" t="str">
        <f>'Active and Pre-IPO SPACs'!K865</f>
        <v/>
      </c>
    </row>
    <row r="865">
      <c r="A865" s="103" t="str">
        <f>'Active and Pre-IPO SPACs'!A866</f>
        <v/>
      </c>
      <c r="B865" s="91" t="str">
        <f>'Active and Pre-IPO SPACs'!B866</f>
        <v/>
      </c>
      <c r="C865" s="91" t="str">
        <f>'Active and Pre-IPO SPACs'!C866</f>
        <v/>
      </c>
      <c r="D865" s="91" t="str">
        <f>'Active and Pre-IPO SPACs'!D866</f>
        <v/>
      </c>
      <c r="E865" s="91" t="str">
        <f>'Active and Pre-IPO SPACs'!E866</f>
        <v/>
      </c>
      <c r="F865" s="91" t="str">
        <f>'Active and Pre-IPO SPACs'!F866</f>
        <v/>
      </c>
      <c r="G865" s="103" t="str">
        <f>'Active and Pre-IPO SPACs'!P866</f>
        <v/>
      </c>
      <c r="H865" s="103" t="str">
        <f>'Active and Pre-IPO SPACs'!Q866</f>
        <v/>
      </c>
      <c r="I865" s="91" t="str">
        <f>'Active and Pre-IPO SPACs'!K866</f>
        <v/>
      </c>
    </row>
    <row r="866">
      <c r="A866" s="103" t="str">
        <f>'Active and Pre-IPO SPACs'!A867</f>
        <v/>
      </c>
      <c r="B866" s="91" t="str">
        <f>'Active and Pre-IPO SPACs'!B867</f>
        <v/>
      </c>
      <c r="C866" s="91" t="str">
        <f>'Active and Pre-IPO SPACs'!C867</f>
        <v/>
      </c>
      <c r="D866" s="91" t="str">
        <f>'Active and Pre-IPO SPACs'!D867</f>
        <v/>
      </c>
      <c r="E866" s="91" t="str">
        <f>'Active and Pre-IPO SPACs'!E867</f>
        <v/>
      </c>
      <c r="F866" s="91" t="str">
        <f>'Active and Pre-IPO SPACs'!F867</f>
        <v/>
      </c>
      <c r="G866" s="103" t="str">
        <f>'Active and Pre-IPO SPACs'!P867</f>
        <v/>
      </c>
      <c r="H866" s="103" t="str">
        <f>'Active and Pre-IPO SPACs'!Q867</f>
        <v/>
      </c>
      <c r="I866" s="91" t="str">
        <f>'Active and Pre-IPO SPACs'!K867</f>
        <v/>
      </c>
    </row>
    <row r="867">
      <c r="A867" s="103" t="str">
        <f>'Active and Pre-IPO SPACs'!A868</f>
        <v/>
      </c>
      <c r="B867" s="91" t="str">
        <f>'Active and Pre-IPO SPACs'!B868</f>
        <v/>
      </c>
      <c r="C867" s="91" t="str">
        <f>'Active and Pre-IPO SPACs'!C868</f>
        <v/>
      </c>
      <c r="D867" s="91" t="str">
        <f>'Active and Pre-IPO SPACs'!D868</f>
        <v/>
      </c>
      <c r="E867" s="91" t="str">
        <f>'Active and Pre-IPO SPACs'!E868</f>
        <v/>
      </c>
      <c r="F867" s="91" t="str">
        <f>'Active and Pre-IPO SPACs'!F868</f>
        <v/>
      </c>
      <c r="G867" s="103" t="str">
        <f>'Active and Pre-IPO SPACs'!P868</f>
        <v/>
      </c>
      <c r="H867" s="103" t="str">
        <f>'Active and Pre-IPO SPACs'!Q868</f>
        <v/>
      </c>
      <c r="I867" s="91" t="str">
        <f>'Active and Pre-IPO SPACs'!K868</f>
        <v/>
      </c>
    </row>
    <row r="868">
      <c r="A868" s="103" t="str">
        <f>'Active and Pre-IPO SPACs'!A869</f>
        <v/>
      </c>
      <c r="B868" s="91" t="str">
        <f>'Active and Pre-IPO SPACs'!B869</f>
        <v/>
      </c>
      <c r="C868" s="91" t="str">
        <f>'Active and Pre-IPO SPACs'!C869</f>
        <v/>
      </c>
      <c r="D868" s="91" t="str">
        <f>'Active and Pre-IPO SPACs'!D869</f>
        <v/>
      </c>
      <c r="E868" s="91" t="str">
        <f>'Active and Pre-IPO SPACs'!E869</f>
        <v/>
      </c>
      <c r="F868" s="91" t="str">
        <f>'Active and Pre-IPO SPACs'!F869</f>
        <v/>
      </c>
      <c r="G868" s="103" t="str">
        <f>'Active and Pre-IPO SPACs'!P869</f>
        <v/>
      </c>
      <c r="H868" s="103" t="str">
        <f>'Active and Pre-IPO SPACs'!Q869</f>
        <v/>
      </c>
      <c r="I868" s="91" t="str">
        <f>'Active and Pre-IPO SPACs'!K869</f>
        <v/>
      </c>
    </row>
    <row r="869">
      <c r="A869" s="103" t="str">
        <f>'Active and Pre-IPO SPACs'!A870</f>
        <v/>
      </c>
      <c r="B869" s="91" t="str">
        <f>'Active and Pre-IPO SPACs'!B870</f>
        <v/>
      </c>
      <c r="C869" s="91" t="str">
        <f>'Active and Pre-IPO SPACs'!C870</f>
        <v/>
      </c>
      <c r="D869" s="91" t="str">
        <f>'Active and Pre-IPO SPACs'!D870</f>
        <v/>
      </c>
      <c r="E869" s="91" t="str">
        <f>'Active and Pre-IPO SPACs'!E870</f>
        <v/>
      </c>
      <c r="F869" s="91" t="str">
        <f>'Active and Pre-IPO SPACs'!F870</f>
        <v/>
      </c>
      <c r="G869" s="103" t="str">
        <f>'Active and Pre-IPO SPACs'!P870</f>
        <v/>
      </c>
      <c r="H869" s="103" t="str">
        <f>'Active and Pre-IPO SPACs'!Q870</f>
        <v/>
      </c>
      <c r="I869" s="91" t="str">
        <f>'Active and Pre-IPO SPACs'!K870</f>
        <v/>
      </c>
    </row>
    <row r="870">
      <c r="A870" s="103" t="str">
        <f>'Active and Pre-IPO SPACs'!A871</f>
        <v/>
      </c>
      <c r="B870" s="91" t="str">
        <f>'Active and Pre-IPO SPACs'!B871</f>
        <v/>
      </c>
      <c r="C870" s="91" t="str">
        <f>'Active and Pre-IPO SPACs'!C871</f>
        <v/>
      </c>
      <c r="D870" s="91" t="str">
        <f>'Active and Pre-IPO SPACs'!D871</f>
        <v/>
      </c>
      <c r="E870" s="91" t="str">
        <f>'Active and Pre-IPO SPACs'!E871</f>
        <v/>
      </c>
      <c r="F870" s="91" t="str">
        <f>'Active and Pre-IPO SPACs'!F871</f>
        <v/>
      </c>
      <c r="G870" s="103" t="str">
        <f>'Active and Pre-IPO SPACs'!P871</f>
        <v/>
      </c>
      <c r="H870" s="103" t="str">
        <f>'Active and Pre-IPO SPACs'!Q871</f>
        <v/>
      </c>
      <c r="I870" s="91" t="str">
        <f>'Active and Pre-IPO SPACs'!K871</f>
        <v/>
      </c>
    </row>
    <row r="871">
      <c r="A871" s="103" t="str">
        <f>'Active and Pre-IPO SPACs'!A872</f>
        <v/>
      </c>
      <c r="B871" s="91" t="str">
        <f>'Active and Pre-IPO SPACs'!B872</f>
        <v/>
      </c>
      <c r="C871" s="91" t="str">
        <f>'Active and Pre-IPO SPACs'!C872</f>
        <v/>
      </c>
      <c r="D871" s="91" t="str">
        <f>'Active and Pre-IPO SPACs'!D872</f>
        <v/>
      </c>
      <c r="E871" s="91" t="str">
        <f>'Active and Pre-IPO SPACs'!E872</f>
        <v/>
      </c>
      <c r="F871" s="91" t="str">
        <f>'Active and Pre-IPO SPACs'!F872</f>
        <v/>
      </c>
      <c r="G871" s="103" t="str">
        <f>'Active and Pre-IPO SPACs'!P872</f>
        <v/>
      </c>
      <c r="H871" s="103" t="str">
        <f>'Active and Pre-IPO SPACs'!Q872</f>
        <v/>
      </c>
      <c r="I871" s="91" t="str">
        <f>'Active and Pre-IPO SPACs'!K872</f>
        <v/>
      </c>
    </row>
    <row r="872">
      <c r="A872" s="103" t="str">
        <f>'Active and Pre-IPO SPACs'!A873</f>
        <v/>
      </c>
      <c r="B872" s="91" t="str">
        <f>'Active and Pre-IPO SPACs'!B873</f>
        <v/>
      </c>
      <c r="C872" s="91" t="str">
        <f>'Active and Pre-IPO SPACs'!C873</f>
        <v/>
      </c>
      <c r="D872" s="91" t="str">
        <f>'Active and Pre-IPO SPACs'!D873</f>
        <v/>
      </c>
      <c r="E872" s="91" t="str">
        <f>'Active and Pre-IPO SPACs'!E873</f>
        <v/>
      </c>
      <c r="F872" s="91" t="str">
        <f>'Active and Pre-IPO SPACs'!F873</f>
        <v/>
      </c>
      <c r="G872" s="103" t="str">
        <f>'Active and Pre-IPO SPACs'!P873</f>
        <v/>
      </c>
      <c r="H872" s="103" t="str">
        <f>'Active and Pre-IPO SPACs'!Q873</f>
        <v/>
      </c>
      <c r="I872" s="91" t="str">
        <f>'Active and Pre-IPO SPACs'!K873</f>
        <v/>
      </c>
    </row>
    <row r="873">
      <c r="A873" s="103" t="str">
        <f>'Active and Pre-IPO SPACs'!A874</f>
        <v/>
      </c>
      <c r="B873" s="91" t="str">
        <f>'Active and Pre-IPO SPACs'!B874</f>
        <v/>
      </c>
      <c r="C873" s="91" t="str">
        <f>'Active and Pre-IPO SPACs'!C874</f>
        <v/>
      </c>
      <c r="D873" s="91" t="str">
        <f>'Active and Pre-IPO SPACs'!D874</f>
        <v/>
      </c>
      <c r="E873" s="91" t="str">
        <f>'Active and Pre-IPO SPACs'!E874</f>
        <v/>
      </c>
      <c r="F873" s="91" t="str">
        <f>'Active and Pre-IPO SPACs'!F874</f>
        <v/>
      </c>
      <c r="G873" s="103" t="str">
        <f>'Active and Pre-IPO SPACs'!P874</f>
        <v/>
      </c>
      <c r="H873" s="103" t="str">
        <f>'Active and Pre-IPO SPACs'!Q874</f>
        <v/>
      </c>
      <c r="I873" s="91" t="str">
        <f>'Active and Pre-IPO SPACs'!K874</f>
        <v/>
      </c>
    </row>
    <row r="874">
      <c r="A874" s="103" t="str">
        <f>'Active and Pre-IPO SPACs'!A875</f>
        <v/>
      </c>
      <c r="B874" s="91" t="str">
        <f>'Active and Pre-IPO SPACs'!B875</f>
        <v/>
      </c>
      <c r="C874" s="91" t="str">
        <f>'Active and Pre-IPO SPACs'!C875</f>
        <v/>
      </c>
      <c r="D874" s="91" t="str">
        <f>'Active and Pre-IPO SPACs'!D875</f>
        <v/>
      </c>
      <c r="E874" s="91" t="str">
        <f>'Active and Pre-IPO SPACs'!E875</f>
        <v/>
      </c>
      <c r="F874" s="91" t="str">
        <f>'Active and Pre-IPO SPACs'!F875</f>
        <v/>
      </c>
      <c r="G874" s="103" t="str">
        <f>'Active and Pre-IPO SPACs'!P875</f>
        <v/>
      </c>
      <c r="H874" s="103" t="str">
        <f>'Active and Pre-IPO SPACs'!Q875</f>
        <v/>
      </c>
      <c r="I874" s="91" t="str">
        <f>'Active and Pre-IPO SPACs'!K875</f>
        <v/>
      </c>
    </row>
    <row r="875">
      <c r="A875" s="103" t="str">
        <f>'Active and Pre-IPO SPACs'!A876</f>
        <v/>
      </c>
      <c r="B875" s="91" t="str">
        <f>'Active and Pre-IPO SPACs'!B876</f>
        <v/>
      </c>
      <c r="C875" s="91" t="str">
        <f>'Active and Pre-IPO SPACs'!C876</f>
        <v/>
      </c>
      <c r="D875" s="91" t="str">
        <f>'Active and Pre-IPO SPACs'!D876</f>
        <v/>
      </c>
      <c r="E875" s="91" t="str">
        <f>'Active and Pre-IPO SPACs'!E876</f>
        <v/>
      </c>
      <c r="F875" s="91" t="str">
        <f>'Active and Pre-IPO SPACs'!F876</f>
        <v/>
      </c>
      <c r="G875" s="103" t="str">
        <f>'Active and Pre-IPO SPACs'!P876</f>
        <v/>
      </c>
      <c r="H875" s="103" t="str">
        <f>'Active and Pre-IPO SPACs'!Q876</f>
        <v/>
      </c>
      <c r="I875" s="91" t="str">
        <f>'Active and Pre-IPO SPACs'!K876</f>
        <v/>
      </c>
    </row>
    <row r="876">
      <c r="A876" s="103" t="str">
        <f>'Active and Pre-IPO SPACs'!A877</f>
        <v/>
      </c>
      <c r="B876" s="91" t="str">
        <f>'Active and Pre-IPO SPACs'!B877</f>
        <v/>
      </c>
      <c r="C876" s="91" t="str">
        <f>'Active and Pre-IPO SPACs'!C877</f>
        <v/>
      </c>
      <c r="D876" s="91" t="str">
        <f>'Active and Pre-IPO SPACs'!D877</f>
        <v/>
      </c>
      <c r="E876" s="91" t="str">
        <f>'Active and Pre-IPO SPACs'!E877</f>
        <v/>
      </c>
      <c r="F876" s="91" t="str">
        <f>'Active and Pre-IPO SPACs'!F877</f>
        <v/>
      </c>
      <c r="G876" s="103" t="str">
        <f>'Active and Pre-IPO SPACs'!P877</f>
        <v/>
      </c>
      <c r="H876" s="103" t="str">
        <f>'Active and Pre-IPO SPACs'!Q877</f>
        <v/>
      </c>
      <c r="I876" s="91" t="str">
        <f>'Active and Pre-IPO SPACs'!K877</f>
        <v/>
      </c>
    </row>
    <row r="877">
      <c r="A877" s="103" t="str">
        <f>'Active and Pre-IPO SPACs'!A878</f>
        <v/>
      </c>
      <c r="B877" s="91" t="str">
        <f>'Active and Pre-IPO SPACs'!B878</f>
        <v/>
      </c>
      <c r="C877" s="91" t="str">
        <f>'Active and Pre-IPO SPACs'!C878</f>
        <v/>
      </c>
      <c r="D877" s="91" t="str">
        <f>'Active and Pre-IPO SPACs'!D878</f>
        <v/>
      </c>
      <c r="E877" s="91" t="str">
        <f>'Active and Pre-IPO SPACs'!E878</f>
        <v/>
      </c>
      <c r="F877" s="91" t="str">
        <f>'Active and Pre-IPO SPACs'!F878</f>
        <v/>
      </c>
      <c r="G877" s="103" t="str">
        <f>'Active and Pre-IPO SPACs'!P878</f>
        <v/>
      </c>
      <c r="H877" s="103" t="str">
        <f>'Active and Pre-IPO SPACs'!Q878</f>
        <v/>
      </c>
      <c r="I877" s="91" t="str">
        <f>'Active and Pre-IPO SPACs'!K878</f>
        <v/>
      </c>
    </row>
    <row r="878">
      <c r="A878" s="103" t="str">
        <f>'Active and Pre-IPO SPACs'!A879</f>
        <v/>
      </c>
      <c r="B878" s="91" t="str">
        <f>'Active and Pre-IPO SPACs'!B879</f>
        <v/>
      </c>
      <c r="C878" s="91" t="str">
        <f>'Active and Pre-IPO SPACs'!C879</f>
        <v/>
      </c>
      <c r="D878" s="91" t="str">
        <f>'Active and Pre-IPO SPACs'!D879</f>
        <v/>
      </c>
      <c r="E878" s="91" t="str">
        <f>'Active and Pre-IPO SPACs'!E879</f>
        <v/>
      </c>
      <c r="F878" s="91" t="str">
        <f>'Active and Pre-IPO SPACs'!F879</f>
        <v/>
      </c>
      <c r="G878" s="103" t="str">
        <f>'Active and Pre-IPO SPACs'!P879</f>
        <v/>
      </c>
      <c r="H878" s="103" t="str">
        <f>'Active and Pre-IPO SPACs'!Q879</f>
        <v/>
      </c>
      <c r="I878" s="91" t="str">
        <f>'Active and Pre-IPO SPACs'!K879</f>
        <v/>
      </c>
    </row>
    <row r="879">
      <c r="A879" s="103" t="str">
        <f>'Active and Pre-IPO SPACs'!A880</f>
        <v/>
      </c>
      <c r="B879" s="91" t="str">
        <f>'Active and Pre-IPO SPACs'!B880</f>
        <v/>
      </c>
      <c r="C879" s="91" t="str">
        <f>'Active and Pre-IPO SPACs'!C880</f>
        <v/>
      </c>
      <c r="D879" s="91" t="str">
        <f>'Active and Pre-IPO SPACs'!D880</f>
        <v/>
      </c>
      <c r="E879" s="91" t="str">
        <f>'Active and Pre-IPO SPACs'!E880</f>
        <v/>
      </c>
      <c r="F879" s="91" t="str">
        <f>'Active and Pre-IPO SPACs'!F880</f>
        <v/>
      </c>
      <c r="G879" s="103" t="str">
        <f>'Active and Pre-IPO SPACs'!P880</f>
        <v/>
      </c>
      <c r="H879" s="103" t="str">
        <f>'Active and Pre-IPO SPACs'!Q880</f>
        <v/>
      </c>
      <c r="I879" s="91" t="str">
        <f>'Active and Pre-IPO SPACs'!K880</f>
        <v/>
      </c>
    </row>
    <row r="880">
      <c r="A880" s="103" t="str">
        <f>'Active and Pre-IPO SPACs'!A881</f>
        <v/>
      </c>
      <c r="B880" s="91" t="str">
        <f>'Active and Pre-IPO SPACs'!B881</f>
        <v/>
      </c>
      <c r="C880" s="91" t="str">
        <f>'Active and Pre-IPO SPACs'!C881</f>
        <v/>
      </c>
      <c r="D880" s="91" t="str">
        <f>'Active and Pre-IPO SPACs'!D881</f>
        <v/>
      </c>
      <c r="E880" s="91" t="str">
        <f>'Active and Pre-IPO SPACs'!E881</f>
        <v/>
      </c>
      <c r="F880" s="91" t="str">
        <f>'Active and Pre-IPO SPACs'!F881</f>
        <v/>
      </c>
      <c r="G880" s="103" t="str">
        <f>'Active and Pre-IPO SPACs'!P881</f>
        <v/>
      </c>
      <c r="H880" s="103" t="str">
        <f>'Active and Pre-IPO SPACs'!Q881</f>
        <v/>
      </c>
      <c r="I880" s="91" t="str">
        <f>'Active and Pre-IPO SPACs'!K881</f>
        <v/>
      </c>
    </row>
    <row r="881">
      <c r="A881" s="103" t="str">
        <f>'Active and Pre-IPO SPACs'!A882</f>
        <v/>
      </c>
      <c r="B881" s="91" t="str">
        <f>'Active and Pre-IPO SPACs'!B882</f>
        <v/>
      </c>
      <c r="C881" s="91" t="str">
        <f>'Active and Pre-IPO SPACs'!C882</f>
        <v/>
      </c>
      <c r="D881" s="91" t="str">
        <f>'Active and Pre-IPO SPACs'!D882</f>
        <v/>
      </c>
      <c r="E881" s="91" t="str">
        <f>'Active and Pre-IPO SPACs'!E882</f>
        <v/>
      </c>
      <c r="F881" s="91" t="str">
        <f>'Active and Pre-IPO SPACs'!F882</f>
        <v/>
      </c>
      <c r="G881" s="103" t="str">
        <f>'Active and Pre-IPO SPACs'!P882</f>
        <v/>
      </c>
      <c r="H881" s="103" t="str">
        <f>'Active and Pre-IPO SPACs'!Q882</f>
        <v/>
      </c>
      <c r="I881" s="91" t="str">
        <f>'Active and Pre-IPO SPACs'!K882</f>
        <v/>
      </c>
    </row>
    <row r="882">
      <c r="A882" s="103" t="str">
        <f>'Active and Pre-IPO SPACs'!A883</f>
        <v/>
      </c>
      <c r="B882" s="91" t="str">
        <f>'Active and Pre-IPO SPACs'!B883</f>
        <v/>
      </c>
      <c r="C882" s="91" t="str">
        <f>'Active and Pre-IPO SPACs'!C883</f>
        <v/>
      </c>
      <c r="D882" s="91" t="str">
        <f>'Active and Pre-IPO SPACs'!D883</f>
        <v/>
      </c>
      <c r="E882" s="91" t="str">
        <f>'Active and Pre-IPO SPACs'!E883</f>
        <v/>
      </c>
      <c r="F882" s="91" t="str">
        <f>'Active and Pre-IPO SPACs'!F883</f>
        <v/>
      </c>
      <c r="G882" s="103" t="str">
        <f>'Active and Pre-IPO SPACs'!P883</f>
        <v/>
      </c>
      <c r="H882" s="103" t="str">
        <f>'Active and Pre-IPO SPACs'!Q883</f>
        <v/>
      </c>
      <c r="I882" s="91" t="str">
        <f>'Active and Pre-IPO SPACs'!K883</f>
        <v/>
      </c>
    </row>
    <row r="883">
      <c r="A883" s="103" t="str">
        <f>'Active and Pre-IPO SPACs'!A884</f>
        <v/>
      </c>
      <c r="B883" s="91" t="str">
        <f>'Active and Pre-IPO SPACs'!B884</f>
        <v/>
      </c>
      <c r="C883" s="91" t="str">
        <f>'Active and Pre-IPO SPACs'!C884</f>
        <v/>
      </c>
      <c r="D883" s="91" t="str">
        <f>'Active and Pre-IPO SPACs'!D884</f>
        <v/>
      </c>
      <c r="E883" s="91" t="str">
        <f>'Active and Pre-IPO SPACs'!E884</f>
        <v/>
      </c>
      <c r="F883" s="91" t="str">
        <f>'Active and Pre-IPO SPACs'!F884</f>
        <v/>
      </c>
      <c r="G883" s="103" t="str">
        <f>'Active and Pre-IPO SPACs'!P884</f>
        <v/>
      </c>
      <c r="H883" s="103" t="str">
        <f>'Active and Pre-IPO SPACs'!Q884</f>
        <v/>
      </c>
      <c r="I883" s="91" t="str">
        <f>'Active and Pre-IPO SPACs'!K884</f>
        <v/>
      </c>
    </row>
    <row r="884">
      <c r="A884" s="103" t="str">
        <f>'Active and Pre-IPO SPACs'!A885</f>
        <v/>
      </c>
      <c r="B884" s="91" t="str">
        <f>'Active and Pre-IPO SPACs'!B885</f>
        <v/>
      </c>
      <c r="C884" s="91" t="str">
        <f>'Active and Pre-IPO SPACs'!C885</f>
        <v/>
      </c>
      <c r="D884" s="91" t="str">
        <f>'Active and Pre-IPO SPACs'!D885</f>
        <v/>
      </c>
      <c r="E884" s="91" t="str">
        <f>'Active and Pre-IPO SPACs'!E885</f>
        <v/>
      </c>
      <c r="F884" s="91" t="str">
        <f>'Active and Pre-IPO SPACs'!F885</f>
        <v/>
      </c>
      <c r="G884" s="103" t="str">
        <f>'Active and Pre-IPO SPACs'!P885</f>
        <v/>
      </c>
      <c r="H884" s="103" t="str">
        <f>'Active and Pre-IPO SPACs'!Q885</f>
        <v/>
      </c>
      <c r="I884" s="91" t="str">
        <f>'Active and Pre-IPO SPACs'!K885</f>
        <v/>
      </c>
    </row>
    <row r="885">
      <c r="A885" s="103" t="str">
        <f>'Active and Pre-IPO SPACs'!A886</f>
        <v/>
      </c>
      <c r="B885" s="91" t="str">
        <f>'Active and Pre-IPO SPACs'!B886</f>
        <v/>
      </c>
      <c r="C885" s="91" t="str">
        <f>'Active and Pre-IPO SPACs'!C886</f>
        <v/>
      </c>
      <c r="D885" s="91" t="str">
        <f>'Active and Pre-IPO SPACs'!D886</f>
        <v/>
      </c>
      <c r="E885" s="91" t="str">
        <f>'Active and Pre-IPO SPACs'!E886</f>
        <v/>
      </c>
      <c r="F885" s="91" t="str">
        <f>'Active and Pre-IPO SPACs'!F886</f>
        <v/>
      </c>
      <c r="G885" s="103" t="str">
        <f>'Active and Pre-IPO SPACs'!P886</f>
        <v/>
      </c>
      <c r="H885" s="103" t="str">
        <f>'Active and Pre-IPO SPACs'!Q886</f>
        <v/>
      </c>
      <c r="I885" s="91" t="str">
        <f>'Active and Pre-IPO SPACs'!K886</f>
        <v/>
      </c>
    </row>
    <row r="886">
      <c r="A886" s="103" t="str">
        <f>'Active and Pre-IPO SPACs'!A887</f>
        <v/>
      </c>
      <c r="B886" s="91" t="str">
        <f>'Active and Pre-IPO SPACs'!B887</f>
        <v/>
      </c>
      <c r="C886" s="91" t="str">
        <f>'Active and Pre-IPO SPACs'!C887</f>
        <v/>
      </c>
      <c r="D886" s="91" t="str">
        <f>'Active and Pre-IPO SPACs'!D887</f>
        <v/>
      </c>
      <c r="E886" s="91" t="str">
        <f>'Active and Pre-IPO SPACs'!E887</f>
        <v/>
      </c>
      <c r="F886" s="91" t="str">
        <f>'Active and Pre-IPO SPACs'!F887</f>
        <v/>
      </c>
      <c r="G886" s="103" t="str">
        <f>'Active and Pre-IPO SPACs'!P887</f>
        <v/>
      </c>
      <c r="H886" s="103" t="str">
        <f>'Active and Pre-IPO SPACs'!Q887</f>
        <v/>
      </c>
      <c r="I886" s="91" t="str">
        <f>'Active and Pre-IPO SPACs'!K887</f>
        <v/>
      </c>
    </row>
    <row r="887">
      <c r="A887" s="103" t="str">
        <f>'Active and Pre-IPO SPACs'!A888</f>
        <v/>
      </c>
      <c r="B887" s="91" t="str">
        <f>'Active and Pre-IPO SPACs'!B888</f>
        <v/>
      </c>
      <c r="C887" s="91" t="str">
        <f>'Active and Pre-IPO SPACs'!C888</f>
        <v/>
      </c>
      <c r="D887" s="91" t="str">
        <f>'Active and Pre-IPO SPACs'!D888</f>
        <v/>
      </c>
      <c r="E887" s="91" t="str">
        <f>'Active and Pre-IPO SPACs'!E888</f>
        <v/>
      </c>
      <c r="F887" s="91" t="str">
        <f>'Active and Pre-IPO SPACs'!F888</f>
        <v/>
      </c>
      <c r="G887" s="103" t="str">
        <f>'Active and Pre-IPO SPACs'!P888</f>
        <v/>
      </c>
      <c r="H887" s="103" t="str">
        <f>'Active and Pre-IPO SPACs'!Q888</f>
        <v/>
      </c>
      <c r="I887" s="91" t="str">
        <f>'Active and Pre-IPO SPACs'!K888</f>
        <v/>
      </c>
    </row>
    <row r="888">
      <c r="A888" s="103" t="str">
        <f>'Active and Pre-IPO SPACs'!A889</f>
        <v/>
      </c>
      <c r="B888" s="91" t="str">
        <f>'Active and Pre-IPO SPACs'!B889</f>
        <v/>
      </c>
      <c r="C888" s="91" t="str">
        <f>'Active and Pre-IPO SPACs'!C889</f>
        <v/>
      </c>
      <c r="D888" s="91" t="str">
        <f>'Active and Pre-IPO SPACs'!D889</f>
        <v/>
      </c>
      <c r="E888" s="91" t="str">
        <f>'Active and Pre-IPO SPACs'!E889</f>
        <v/>
      </c>
      <c r="F888" s="91" t="str">
        <f>'Active and Pre-IPO SPACs'!F889</f>
        <v/>
      </c>
      <c r="G888" s="103" t="str">
        <f>'Active and Pre-IPO SPACs'!P889</f>
        <v/>
      </c>
      <c r="H888" s="103" t="str">
        <f>'Active and Pre-IPO SPACs'!Q889</f>
        <v/>
      </c>
      <c r="I888" s="91" t="str">
        <f>'Active and Pre-IPO SPACs'!K889</f>
        <v/>
      </c>
    </row>
    <row r="889">
      <c r="A889" s="103" t="str">
        <f>'Active and Pre-IPO SPACs'!A890</f>
        <v/>
      </c>
      <c r="B889" s="91" t="str">
        <f>'Active and Pre-IPO SPACs'!B890</f>
        <v/>
      </c>
      <c r="C889" s="91" t="str">
        <f>'Active and Pre-IPO SPACs'!C890</f>
        <v/>
      </c>
      <c r="D889" s="91" t="str">
        <f>'Active and Pre-IPO SPACs'!D890</f>
        <v/>
      </c>
      <c r="E889" s="91" t="str">
        <f>'Active and Pre-IPO SPACs'!E890</f>
        <v/>
      </c>
      <c r="F889" s="91" t="str">
        <f>'Active and Pre-IPO SPACs'!F890</f>
        <v/>
      </c>
      <c r="G889" s="103" t="str">
        <f>'Active and Pre-IPO SPACs'!P890</f>
        <v/>
      </c>
      <c r="H889" s="103" t="str">
        <f>'Active and Pre-IPO SPACs'!Q890</f>
        <v/>
      </c>
      <c r="I889" s="91" t="str">
        <f>'Active and Pre-IPO SPACs'!K890</f>
        <v/>
      </c>
    </row>
    <row r="890">
      <c r="A890" s="103" t="str">
        <f>'Active and Pre-IPO SPACs'!A891</f>
        <v/>
      </c>
      <c r="B890" s="91" t="str">
        <f>'Active and Pre-IPO SPACs'!B891</f>
        <v/>
      </c>
      <c r="C890" s="91" t="str">
        <f>'Active and Pre-IPO SPACs'!C891</f>
        <v/>
      </c>
      <c r="D890" s="91" t="str">
        <f>'Active and Pre-IPO SPACs'!D891</f>
        <v/>
      </c>
      <c r="E890" s="91" t="str">
        <f>'Active and Pre-IPO SPACs'!E891</f>
        <v/>
      </c>
      <c r="F890" s="91" t="str">
        <f>'Active and Pre-IPO SPACs'!F891</f>
        <v/>
      </c>
      <c r="G890" s="103" t="str">
        <f>'Active and Pre-IPO SPACs'!P891</f>
        <v/>
      </c>
      <c r="H890" s="103" t="str">
        <f>'Active and Pre-IPO SPACs'!Q891</f>
        <v/>
      </c>
      <c r="I890" s="91" t="str">
        <f>'Active and Pre-IPO SPACs'!K891</f>
        <v/>
      </c>
    </row>
    <row r="891">
      <c r="A891" s="103" t="str">
        <f>'Active and Pre-IPO SPACs'!A892</f>
        <v/>
      </c>
      <c r="B891" s="91" t="str">
        <f>'Active and Pre-IPO SPACs'!B892</f>
        <v/>
      </c>
      <c r="C891" s="91" t="str">
        <f>'Active and Pre-IPO SPACs'!C892</f>
        <v/>
      </c>
      <c r="D891" s="91" t="str">
        <f>'Active and Pre-IPO SPACs'!D892</f>
        <v/>
      </c>
      <c r="E891" s="91" t="str">
        <f>'Active and Pre-IPO SPACs'!E892</f>
        <v/>
      </c>
      <c r="F891" s="91" t="str">
        <f>'Active and Pre-IPO SPACs'!F892</f>
        <v/>
      </c>
      <c r="G891" s="103" t="str">
        <f>'Active and Pre-IPO SPACs'!P892</f>
        <v/>
      </c>
      <c r="H891" s="103" t="str">
        <f>'Active and Pre-IPO SPACs'!Q892</f>
        <v/>
      </c>
      <c r="I891" s="91" t="str">
        <f>'Active and Pre-IPO SPACs'!K892</f>
        <v/>
      </c>
    </row>
    <row r="892">
      <c r="A892" s="103" t="str">
        <f>'Active and Pre-IPO SPACs'!A893</f>
        <v/>
      </c>
      <c r="B892" s="91" t="str">
        <f>'Active and Pre-IPO SPACs'!B893</f>
        <v/>
      </c>
      <c r="C892" s="91" t="str">
        <f>'Active and Pre-IPO SPACs'!C893</f>
        <v/>
      </c>
      <c r="D892" s="91" t="str">
        <f>'Active and Pre-IPO SPACs'!D893</f>
        <v/>
      </c>
      <c r="E892" s="91" t="str">
        <f>'Active and Pre-IPO SPACs'!E893</f>
        <v/>
      </c>
      <c r="F892" s="91" t="str">
        <f>'Active and Pre-IPO SPACs'!F893</f>
        <v/>
      </c>
      <c r="G892" s="103" t="str">
        <f>'Active and Pre-IPO SPACs'!P893</f>
        <v/>
      </c>
      <c r="H892" s="103" t="str">
        <f>'Active and Pre-IPO SPACs'!Q893</f>
        <v/>
      </c>
      <c r="I892" s="91" t="str">
        <f>'Active and Pre-IPO SPACs'!K893</f>
        <v/>
      </c>
    </row>
    <row r="893">
      <c r="A893" s="103" t="str">
        <f>'Active and Pre-IPO SPACs'!A894</f>
        <v/>
      </c>
      <c r="B893" s="91" t="str">
        <f>'Active and Pre-IPO SPACs'!B894</f>
        <v/>
      </c>
      <c r="C893" s="91" t="str">
        <f>'Active and Pre-IPO SPACs'!C894</f>
        <v/>
      </c>
      <c r="D893" s="91" t="str">
        <f>'Active and Pre-IPO SPACs'!D894</f>
        <v/>
      </c>
      <c r="E893" s="91" t="str">
        <f>'Active and Pre-IPO SPACs'!E894</f>
        <v/>
      </c>
      <c r="F893" s="91" t="str">
        <f>'Active and Pre-IPO SPACs'!F894</f>
        <v/>
      </c>
      <c r="G893" s="103" t="str">
        <f>'Active and Pre-IPO SPACs'!P894</f>
        <v/>
      </c>
      <c r="H893" s="103" t="str">
        <f>'Active and Pre-IPO SPACs'!Q894</f>
        <v/>
      </c>
      <c r="I893" s="91" t="str">
        <f>'Active and Pre-IPO SPACs'!K894</f>
        <v/>
      </c>
    </row>
    <row r="894">
      <c r="A894" s="103" t="str">
        <f>'Active and Pre-IPO SPACs'!A895</f>
        <v/>
      </c>
      <c r="B894" s="91" t="str">
        <f>'Active and Pre-IPO SPACs'!B895</f>
        <v/>
      </c>
      <c r="C894" s="91" t="str">
        <f>'Active and Pre-IPO SPACs'!C895</f>
        <v/>
      </c>
      <c r="D894" s="91" t="str">
        <f>'Active and Pre-IPO SPACs'!D895</f>
        <v/>
      </c>
      <c r="E894" s="91" t="str">
        <f>'Active and Pre-IPO SPACs'!E895</f>
        <v/>
      </c>
      <c r="F894" s="91" t="str">
        <f>'Active and Pre-IPO SPACs'!F895</f>
        <v/>
      </c>
      <c r="G894" s="103" t="str">
        <f>'Active and Pre-IPO SPACs'!P895</f>
        <v/>
      </c>
      <c r="H894" s="103" t="str">
        <f>'Active and Pre-IPO SPACs'!Q895</f>
        <v/>
      </c>
      <c r="I894" s="91" t="str">
        <f>'Active and Pre-IPO SPACs'!K895</f>
        <v/>
      </c>
    </row>
    <row r="895">
      <c r="A895" s="103" t="str">
        <f>'Active and Pre-IPO SPACs'!A896</f>
        <v/>
      </c>
      <c r="B895" s="91" t="str">
        <f>'Active and Pre-IPO SPACs'!B896</f>
        <v/>
      </c>
      <c r="C895" s="91" t="str">
        <f>'Active and Pre-IPO SPACs'!C896</f>
        <v/>
      </c>
      <c r="D895" s="91" t="str">
        <f>'Active and Pre-IPO SPACs'!D896</f>
        <v/>
      </c>
      <c r="E895" s="91" t="str">
        <f>'Active and Pre-IPO SPACs'!E896</f>
        <v/>
      </c>
      <c r="F895" s="91" t="str">
        <f>'Active and Pre-IPO SPACs'!F896</f>
        <v/>
      </c>
      <c r="G895" s="103" t="str">
        <f>'Active and Pre-IPO SPACs'!P896</f>
        <v/>
      </c>
      <c r="H895" s="103" t="str">
        <f>'Active and Pre-IPO SPACs'!Q896</f>
        <v/>
      </c>
      <c r="I895" s="91" t="str">
        <f>'Active and Pre-IPO SPACs'!K896</f>
        <v/>
      </c>
    </row>
    <row r="896">
      <c r="A896" s="103" t="str">
        <f>'Active and Pre-IPO SPACs'!A897</f>
        <v/>
      </c>
      <c r="B896" s="91" t="str">
        <f>'Active and Pre-IPO SPACs'!B897</f>
        <v/>
      </c>
      <c r="C896" s="91" t="str">
        <f>'Active and Pre-IPO SPACs'!C897</f>
        <v/>
      </c>
      <c r="D896" s="91" t="str">
        <f>'Active and Pre-IPO SPACs'!D897</f>
        <v/>
      </c>
      <c r="E896" s="91" t="str">
        <f>'Active and Pre-IPO SPACs'!E897</f>
        <v/>
      </c>
      <c r="F896" s="91" t="str">
        <f>'Active and Pre-IPO SPACs'!F897</f>
        <v/>
      </c>
      <c r="G896" s="103" t="str">
        <f>'Active and Pre-IPO SPACs'!P897</f>
        <v/>
      </c>
      <c r="H896" s="103" t="str">
        <f>'Active and Pre-IPO SPACs'!Q897</f>
        <v/>
      </c>
      <c r="I896" s="91" t="str">
        <f>'Active and Pre-IPO SPACs'!K897</f>
        <v/>
      </c>
    </row>
    <row r="897">
      <c r="A897" s="103" t="str">
        <f>'Active and Pre-IPO SPACs'!A898</f>
        <v/>
      </c>
      <c r="B897" s="91" t="str">
        <f>'Active and Pre-IPO SPACs'!B898</f>
        <v/>
      </c>
      <c r="C897" s="91" t="str">
        <f>'Active and Pre-IPO SPACs'!C898</f>
        <v/>
      </c>
      <c r="D897" s="91" t="str">
        <f>'Active and Pre-IPO SPACs'!D898</f>
        <v/>
      </c>
      <c r="E897" s="91" t="str">
        <f>'Active and Pre-IPO SPACs'!E898</f>
        <v/>
      </c>
      <c r="F897" s="91" t="str">
        <f>'Active and Pre-IPO SPACs'!F898</f>
        <v/>
      </c>
      <c r="G897" s="103" t="str">
        <f>'Active and Pre-IPO SPACs'!P898</f>
        <v/>
      </c>
      <c r="H897" s="103" t="str">
        <f>'Active and Pre-IPO SPACs'!Q898</f>
        <v/>
      </c>
      <c r="I897" s="91" t="str">
        <f>'Active and Pre-IPO SPACs'!K898</f>
        <v/>
      </c>
    </row>
    <row r="898">
      <c r="A898" s="103" t="str">
        <f>'Active and Pre-IPO SPACs'!A899</f>
        <v/>
      </c>
      <c r="B898" s="91" t="str">
        <f>'Active and Pre-IPO SPACs'!B899</f>
        <v/>
      </c>
      <c r="C898" s="91" t="str">
        <f>'Active and Pre-IPO SPACs'!C899</f>
        <v/>
      </c>
      <c r="D898" s="91" t="str">
        <f>'Active and Pre-IPO SPACs'!D899</f>
        <v/>
      </c>
      <c r="E898" s="91" t="str">
        <f>'Active and Pre-IPO SPACs'!E899</f>
        <v/>
      </c>
      <c r="F898" s="91" t="str">
        <f>'Active and Pre-IPO SPACs'!F899</f>
        <v/>
      </c>
      <c r="G898" s="103" t="str">
        <f>'Active and Pre-IPO SPACs'!P899</f>
        <v/>
      </c>
      <c r="H898" s="103" t="str">
        <f>'Active and Pre-IPO SPACs'!Q899</f>
        <v/>
      </c>
      <c r="I898" s="91" t="str">
        <f>'Active and Pre-IPO SPACs'!K899</f>
        <v/>
      </c>
    </row>
    <row r="899">
      <c r="A899" s="103" t="str">
        <f>'Active and Pre-IPO SPACs'!A900</f>
        <v/>
      </c>
      <c r="B899" s="91" t="str">
        <f>'Active and Pre-IPO SPACs'!B900</f>
        <v/>
      </c>
      <c r="C899" s="91" t="str">
        <f>'Active and Pre-IPO SPACs'!C900</f>
        <v/>
      </c>
      <c r="D899" s="91" t="str">
        <f>'Active and Pre-IPO SPACs'!D900</f>
        <v/>
      </c>
      <c r="E899" s="91" t="str">
        <f>'Active and Pre-IPO SPACs'!E900</f>
        <v/>
      </c>
      <c r="F899" s="91" t="str">
        <f>'Active and Pre-IPO SPACs'!F900</f>
        <v/>
      </c>
      <c r="G899" s="103" t="str">
        <f>'Active and Pre-IPO SPACs'!P900</f>
        <v/>
      </c>
      <c r="H899" s="103" t="str">
        <f>'Active and Pre-IPO SPACs'!Q900</f>
        <v/>
      </c>
      <c r="I899" s="91" t="str">
        <f>'Active and Pre-IPO SPACs'!K900</f>
        <v/>
      </c>
    </row>
    <row r="900">
      <c r="A900" s="103" t="str">
        <f>'Active and Pre-IPO SPACs'!A901</f>
        <v/>
      </c>
      <c r="B900" s="91" t="str">
        <f>'Active and Pre-IPO SPACs'!B901</f>
        <v/>
      </c>
      <c r="C900" s="91" t="str">
        <f>'Active and Pre-IPO SPACs'!C901</f>
        <v/>
      </c>
      <c r="D900" s="91" t="str">
        <f>'Active and Pre-IPO SPACs'!D901</f>
        <v/>
      </c>
      <c r="E900" s="91" t="str">
        <f>'Active and Pre-IPO SPACs'!E901</f>
        <v/>
      </c>
      <c r="F900" s="91" t="str">
        <f>'Active and Pre-IPO SPACs'!F901</f>
        <v/>
      </c>
      <c r="G900" s="103" t="str">
        <f>'Active and Pre-IPO SPACs'!P901</f>
        <v/>
      </c>
      <c r="H900" s="103" t="str">
        <f>'Active and Pre-IPO SPACs'!Q901</f>
        <v/>
      </c>
      <c r="I900" s="91" t="str">
        <f>'Active and Pre-IPO SPACs'!K901</f>
        <v/>
      </c>
    </row>
    <row r="901">
      <c r="A901" s="103" t="str">
        <f>'Active and Pre-IPO SPACs'!A902</f>
        <v/>
      </c>
      <c r="B901" s="91" t="str">
        <f>'Active and Pre-IPO SPACs'!B902</f>
        <v/>
      </c>
      <c r="C901" s="91" t="str">
        <f>'Active and Pre-IPO SPACs'!C902</f>
        <v/>
      </c>
      <c r="D901" s="91" t="str">
        <f>'Active and Pre-IPO SPACs'!D902</f>
        <v/>
      </c>
      <c r="E901" s="91" t="str">
        <f>'Active and Pre-IPO SPACs'!E902</f>
        <v/>
      </c>
      <c r="F901" s="91" t="str">
        <f>'Active and Pre-IPO SPACs'!F902</f>
        <v/>
      </c>
      <c r="G901" s="103" t="str">
        <f>'Active and Pre-IPO SPACs'!P902</f>
        <v/>
      </c>
      <c r="H901" s="103" t="str">
        <f>'Active and Pre-IPO SPACs'!Q902</f>
        <v/>
      </c>
      <c r="I901" s="91" t="str">
        <f>'Active and Pre-IPO SPACs'!K902</f>
        <v/>
      </c>
    </row>
    <row r="902">
      <c r="A902" s="103" t="str">
        <f>'Active and Pre-IPO SPACs'!A903</f>
        <v/>
      </c>
      <c r="B902" s="91" t="str">
        <f>'Active and Pre-IPO SPACs'!B903</f>
        <v/>
      </c>
      <c r="C902" s="91" t="str">
        <f>'Active and Pre-IPO SPACs'!C903</f>
        <v/>
      </c>
      <c r="D902" s="91" t="str">
        <f>'Active and Pre-IPO SPACs'!D903</f>
        <v/>
      </c>
      <c r="E902" s="91" t="str">
        <f>'Active and Pre-IPO SPACs'!E903</f>
        <v/>
      </c>
      <c r="F902" s="91" t="str">
        <f>'Active and Pre-IPO SPACs'!F903</f>
        <v/>
      </c>
      <c r="G902" s="103" t="str">
        <f>'Active and Pre-IPO SPACs'!P903</f>
        <v/>
      </c>
      <c r="H902" s="103" t="str">
        <f>'Active and Pre-IPO SPACs'!Q903</f>
        <v/>
      </c>
      <c r="I902" s="91" t="str">
        <f>'Active and Pre-IPO SPACs'!K903</f>
        <v/>
      </c>
    </row>
    <row r="903">
      <c r="A903" s="103" t="str">
        <f>'Active and Pre-IPO SPACs'!A904</f>
        <v/>
      </c>
      <c r="B903" s="91" t="str">
        <f>'Active and Pre-IPO SPACs'!B904</f>
        <v/>
      </c>
      <c r="C903" s="91" t="str">
        <f>'Active and Pre-IPO SPACs'!C904</f>
        <v/>
      </c>
      <c r="D903" s="91" t="str">
        <f>'Active and Pre-IPO SPACs'!D904</f>
        <v/>
      </c>
      <c r="E903" s="91" t="str">
        <f>'Active and Pre-IPO SPACs'!E904</f>
        <v/>
      </c>
      <c r="F903" s="91" t="str">
        <f>'Active and Pre-IPO SPACs'!F904</f>
        <v/>
      </c>
      <c r="G903" s="103" t="str">
        <f>'Active and Pre-IPO SPACs'!P904</f>
        <v/>
      </c>
      <c r="H903" s="103" t="str">
        <f>'Active and Pre-IPO SPACs'!Q904</f>
        <v/>
      </c>
      <c r="I903" s="91" t="str">
        <f>'Active and Pre-IPO SPACs'!K904</f>
        <v/>
      </c>
    </row>
    <row r="904">
      <c r="A904" s="103" t="str">
        <f>'Active and Pre-IPO SPACs'!A905</f>
        <v/>
      </c>
      <c r="B904" s="91" t="str">
        <f>'Active and Pre-IPO SPACs'!B905</f>
        <v/>
      </c>
      <c r="C904" s="91" t="str">
        <f>'Active and Pre-IPO SPACs'!C905</f>
        <v/>
      </c>
      <c r="D904" s="91" t="str">
        <f>'Active and Pre-IPO SPACs'!D905</f>
        <v/>
      </c>
      <c r="E904" s="91" t="str">
        <f>'Active and Pre-IPO SPACs'!E905</f>
        <v/>
      </c>
      <c r="F904" s="91" t="str">
        <f>'Active and Pre-IPO SPACs'!F905</f>
        <v/>
      </c>
      <c r="G904" s="103" t="str">
        <f>'Active and Pre-IPO SPACs'!P905</f>
        <v/>
      </c>
      <c r="H904" s="103" t="str">
        <f>'Active and Pre-IPO SPACs'!Q905</f>
        <v/>
      </c>
      <c r="I904" s="91" t="str">
        <f>'Active and Pre-IPO SPACs'!K905</f>
        <v/>
      </c>
    </row>
    <row r="905">
      <c r="A905" s="103" t="str">
        <f>'Active and Pre-IPO SPACs'!A906</f>
        <v/>
      </c>
      <c r="B905" s="91" t="str">
        <f>'Active and Pre-IPO SPACs'!B906</f>
        <v/>
      </c>
      <c r="C905" s="91" t="str">
        <f>'Active and Pre-IPO SPACs'!C906</f>
        <v/>
      </c>
      <c r="D905" s="91" t="str">
        <f>'Active and Pre-IPO SPACs'!D906</f>
        <v/>
      </c>
      <c r="E905" s="91" t="str">
        <f>'Active and Pre-IPO SPACs'!E906</f>
        <v/>
      </c>
      <c r="F905" s="91" t="str">
        <f>'Active and Pre-IPO SPACs'!F906</f>
        <v/>
      </c>
      <c r="G905" s="103" t="str">
        <f>'Active and Pre-IPO SPACs'!P906</f>
        <v/>
      </c>
      <c r="H905" s="103" t="str">
        <f>'Active and Pre-IPO SPACs'!Q906</f>
        <v/>
      </c>
      <c r="I905" s="91" t="str">
        <f>'Active and Pre-IPO SPACs'!K906</f>
        <v/>
      </c>
    </row>
    <row r="906">
      <c r="A906" s="103" t="str">
        <f>'Active and Pre-IPO SPACs'!A907</f>
        <v/>
      </c>
      <c r="B906" s="91" t="str">
        <f>'Active and Pre-IPO SPACs'!B907</f>
        <v/>
      </c>
      <c r="C906" s="91" t="str">
        <f>'Active and Pre-IPO SPACs'!C907</f>
        <v/>
      </c>
      <c r="D906" s="91" t="str">
        <f>'Active and Pre-IPO SPACs'!D907</f>
        <v/>
      </c>
      <c r="E906" s="91" t="str">
        <f>'Active and Pre-IPO SPACs'!E907</f>
        <v/>
      </c>
      <c r="F906" s="91" t="str">
        <f>'Active and Pre-IPO SPACs'!F907</f>
        <v/>
      </c>
      <c r="G906" s="103" t="str">
        <f>'Active and Pre-IPO SPACs'!P907</f>
        <v/>
      </c>
      <c r="H906" s="103" t="str">
        <f>'Active and Pre-IPO SPACs'!Q907</f>
        <v/>
      </c>
      <c r="I906" s="91" t="str">
        <f>'Active and Pre-IPO SPACs'!K907</f>
        <v/>
      </c>
    </row>
    <row r="907">
      <c r="A907" s="103" t="str">
        <f>'Active and Pre-IPO SPACs'!A908</f>
        <v/>
      </c>
      <c r="B907" s="91" t="str">
        <f>'Active and Pre-IPO SPACs'!B908</f>
        <v/>
      </c>
      <c r="C907" s="91" t="str">
        <f>'Active and Pre-IPO SPACs'!C908</f>
        <v/>
      </c>
      <c r="D907" s="91" t="str">
        <f>'Active and Pre-IPO SPACs'!D908</f>
        <v/>
      </c>
      <c r="E907" s="91" t="str">
        <f>'Active and Pre-IPO SPACs'!E908</f>
        <v/>
      </c>
      <c r="F907" s="91" t="str">
        <f>'Active and Pre-IPO SPACs'!F908</f>
        <v/>
      </c>
      <c r="G907" s="103" t="str">
        <f>'Active and Pre-IPO SPACs'!P908</f>
        <v/>
      </c>
      <c r="H907" s="103" t="str">
        <f>'Active and Pre-IPO SPACs'!Q908</f>
        <v/>
      </c>
      <c r="I907" s="91" t="str">
        <f>'Active and Pre-IPO SPACs'!K908</f>
        <v/>
      </c>
    </row>
    <row r="908">
      <c r="A908" s="103" t="str">
        <f>'Active and Pre-IPO SPACs'!A909</f>
        <v/>
      </c>
      <c r="B908" s="91" t="str">
        <f>'Active and Pre-IPO SPACs'!B909</f>
        <v/>
      </c>
      <c r="C908" s="91" t="str">
        <f>'Active and Pre-IPO SPACs'!C909</f>
        <v/>
      </c>
      <c r="D908" s="91" t="str">
        <f>'Active and Pre-IPO SPACs'!D909</f>
        <v/>
      </c>
      <c r="E908" s="91" t="str">
        <f>'Active and Pre-IPO SPACs'!E909</f>
        <v/>
      </c>
      <c r="F908" s="91" t="str">
        <f>'Active and Pre-IPO SPACs'!F909</f>
        <v/>
      </c>
      <c r="G908" s="103" t="str">
        <f>'Active and Pre-IPO SPACs'!P909</f>
        <v/>
      </c>
      <c r="H908" s="103" t="str">
        <f>'Active and Pre-IPO SPACs'!Q909</f>
        <v/>
      </c>
      <c r="I908" s="91" t="str">
        <f>'Active and Pre-IPO SPACs'!K909</f>
        <v/>
      </c>
    </row>
    <row r="909">
      <c r="A909" s="103" t="str">
        <f>'Active and Pre-IPO SPACs'!A910</f>
        <v/>
      </c>
      <c r="B909" s="91" t="str">
        <f>'Active and Pre-IPO SPACs'!B910</f>
        <v/>
      </c>
      <c r="C909" s="91" t="str">
        <f>'Active and Pre-IPO SPACs'!C910</f>
        <v/>
      </c>
      <c r="D909" s="91" t="str">
        <f>'Active and Pre-IPO SPACs'!D910</f>
        <v/>
      </c>
      <c r="E909" s="91" t="str">
        <f>'Active and Pre-IPO SPACs'!E910</f>
        <v/>
      </c>
      <c r="F909" s="91" t="str">
        <f>'Active and Pre-IPO SPACs'!F910</f>
        <v/>
      </c>
      <c r="G909" s="103" t="str">
        <f>'Active and Pre-IPO SPACs'!P910</f>
        <v/>
      </c>
      <c r="H909" s="103" t="str">
        <f>'Active and Pre-IPO SPACs'!Q910</f>
        <v/>
      </c>
      <c r="I909" s="91" t="str">
        <f>'Active and Pre-IPO SPACs'!K910</f>
        <v/>
      </c>
    </row>
    <row r="910">
      <c r="A910" s="103" t="str">
        <f>'Active and Pre-IPO SPACs'!A911</f>
        <v/>
      </c>
      <c r="B910" s="91" t="str">
        <f>'Active and Pre-IPO SPACs'!B911</f>
        <v/>
      </c>
      <c r="C910" s="91" t="str">
        <f>'Active and Pre-IPO SPACs'!C911</f>
        <v/>
      </c>
      <c r="D910" s="91" t="str">
        <f>'Active and Pre-IPO SPACs'!D911</f>
        <v/>
      </c>
      <c r="E910" s="91" t="str">
        <f>'Active and Pre-IPO SPACs'!E911</f>
        <v/>
      </c>
      <c r="F910" s="91" t="str">
        <f>'Active and Pre-IPO SPACs'!F911</f>
        <v/>
      </c>
      <c r="G910" s="103" t="str">
        <f>'Active and Pre-IPO SPACs'!P911</f>
        <v/>
      </c>
      <c r="H910" s="103" t="str">
        <f>'Active and Pre-IPO SPACs'!Q911</f>
        <v/>
      </c>
      <c r="I910" s="91" t="str">
        <f>'Active and Pre-IPO SPACs'!K911</f>
        <v/>
      </c>
    </row>
    <row r="911">
      <c r="A911" s="103" t="str">
        <f>'Active and Pre-IPO SPACs'!A912</f>
        <v/>
      </c>
      <c r="B911" s="91" t="str">
        <f>'Active and Pre-IPO SPACs'!B912</f>
        <v/>
      </c>
      <c r="C911" s="91" t="str">
        <f>'Active and Pre-IPO SPACs'!C912</f>
        <v/>
      </c>
      <c r="D911" s="91" t="str">
        <f>'Active and Pre-IPO SPACs'!D912</f>
        <v/>
      </c>
      <c r="E911" s="91" t="str">
        <f>'Active and Pre-IPO SPACs'!E912</f>
        <v/>
      </c>
      <c r="F911" s="91" t="str">
        <f>'Active and Pre-IPO SPACs'!F912</f>
        <v/>
      </c>
      <c r="G911" s="103" t="str">
        <f>'Active and Pre-IPO SPACs'!P912</f>
        <v/>
      </c>
      <c r="H911" s="103" t="str">
        <f>'Active and Pre-IPO SPACs'!Q912</f>
        <v/>
      </c>
      <c r="I911" s="91" t="str">
        <f>'Active and Pre-IPO SPACs'!K912</f>
        <v/>
      </c>
    </row>
    <row r="912">
      <c r="A912" s="103" t="str">
        <f>'Active and Pre-IPO SPACs'!A913</f>
        <v/>
      </c>
      <c r="B912" s="91" t="str">
        <f>'Active and Pre-IPO SPACs'!B913</f>
        <v/>
      </c>
      <c r="C912" s="91" t="str">
        <f>'Active and Pre-IPO SPACs'!C913</f>
        <v/>
      </c>
      <c r="D912" s="91" t="str">
        <f>'Active and Pre-IPO SPACs'!D913</f>
        <v/>
      </c>
      <c r="E912" s="91" t="str">
        <f>'Active and Pre-IPO SPACs'!E913</f>
        <v/>
      </c>
      <c r="F912" s="91" t="str">
        <f>'Active and Pre-IPO SPACs'!F913</f>
        <v/>
      </c>
      <c r="G912" s="103" t="str">
        <f>'Active and Pre-IPO SPACs'!P913</f>
        <v/>
      </c>
      <c r="H912" s="103" t="str">
        <f>'Active and Pre-IPO SPACs'!Q913</f>
        <v/>
      </c>
      <c r="I912" s="91" t="str">
        <f>'Active and Pre-IPO SPACs'!K913</f>
        <v/>
      </c>
    </row>
    <row r="913">
      <c r="A913" s="103" t="str">
        <f>'Active and Pre-IPO SPACs'!A914</f>
        <v/>
      </c>
      <c r="B913" s="91" t="str">
        <f>'Active and Pre-IPO SPACs'!B914</f>
        <v/>
      </c>
      <c r="C913" s="91" t="str">
        <f>'Active and Pre-IPO SPACs'!C914</f>
        <v/>
      </c>
      <c r="D913" s="91" t="str">
        <f>'Active and Pre-IPO SPACs'!D914</f>
        <v/>
      </c>
      <c r="E913" s="91" t="str">
        <f>'Active and Pre-IPO SPACs'!E914</f>
        <v/>
      </c>
      <c r="F913" s="91" t="str">
        <f>'Active and Pre-IPO SPACs'!F914</f>
        <v/>
      </c>
      <c r="G913" s="103" t="str">
        <f>'Active and Pre-IPO SPACs'!P914</f>
        <v/>
      </c>
      <c r="H913" s="103" t="str">
        <f>'Active and Pre-IPO SPACs'!Q914</f>
        <v/>
      </c>
      <c r="I913" s="91" t="str">
        <f>'Active and Pre-IPO SPACs'!K914</f>
        <v/>
      </c>
    </row>
    <row r="914">
      <c r="A914" s="103" t="str">
        <f>'Active and Pre-IPO SPACs'!A915</f>
        <v/>
      </c>
      <c r="B914" s="91" t="str">
        <f>'Active and Pre-IPO SPACs'!B915</f>
        <v/>
      </c>
      <c r="C914" s="91" t="str">
        <f>'Active and Pre-IPO SPACs'!C915</f>
        <v/>
      </c>
      <c r="D914" s="91" t="str">
        <f>'Active and Pre-IPO SPACs'!D915</f>
        <v/>
      </c>
      <c r="E914" s="91" t="str">
        <f>'Active and Pre-IPO SPACs'!E915</f>
        <v/>
      </c>
      <c r="F914" s="91" t="str">
        <f>'Active and Pre-IPO SPACs'!F915</f>
        <v/>
      </c>
      <c r="G914" s="103" t="str">
        <f>'Active and Pre-IPO SPACs'!P915</f>
        <v/>
      </c>
      <c r="H914" s="103" t="str">
        <f>'Active and Pre-IPO SPACs'!Q915</f>
        <v/>
      </c>
      <c r="I914" s="91" t="str">
        <f>'Active and Pre-IPO SPACs'!K915</f>
        <v/>
      </c>
    </row>
    <row r="915">
      <c r="A915" s="103" t="str">
        <f>'Active and Pre-IPO SPACs'!A916</f>
        <v/>
      </c>
      <c r="B915" s="91" t="str">
        <f>'Active and Pre-IPO SPACs'!B916</f>
        <v/>
      </c>
      <c r="C915" s="91" t="str">
        <f>'Active and Pre-IPO SPACs'!C916</f>
        <v/>
      </c>
      <c r="D915" s="91" t="str">
        <f>'Active and Pre-IPO SPACs'!D916</f>
        <v/>
      </c>
      <c r="E915" s="91" t="str">
        <f>'Active and Pre-IPO SPACs'!E916</f>
        <v/>
      </c>
      <c r="F915" s="91" t="str">
        <f>'Active and Pre-IPO SPACs'!F916</f>
        <v/>
      </c>
      <c r="G915" s="103" t="str">
        <f>'Active and Pre-IPO SPACs'!P916</f>
        <v/>
      </c>
      <c r="H915" s="103" t="str">
        <f>'Active and Pre-IPO SPACs'!Q916</f>
        <v/>
      </c>
      <c r="I915" s="91" t="str">
        <f>'Active and Pre-IPO SPACs'!K916</f>
        <v/>
      </c>
    </row>
    <row r="916">
      <c r="A916" s="103" t="str">
        <f>'Active and Pre-IPO SPACs'!A917</f>
        <v/>
      </c>
      <c r="B916" s="91" t="str">
        <f>'Active and Pre-IPO SPACs'!B917</f>
        <v/>
      </c>
      <c r="C916" s="91" t="str">
        <f>'Active and Pre-IPO SPACs'!C917</f>
        <v/>
      </c>
      <c r="D916" s="91" t="str">
        <f>'Active and Pre-IPO SPACs'!D917</f>
        <v/>
      </c>
      <c r="E916" s="91" t="str">
        <f>'Active and Pre-IPO SPACs'!E917</f>
        <v/>
      </c>
      <c r="F916" s="91" t="str">
        <f>'Active and Pre-IPO SPACs'!F917</f>
        <v/>
      </c>
      <c r="G916" s="103" t="str">
        <f>'Active and Pre-IPO SPACs'!P917</f>
        <v/>
      </c>
      <c r="H916" s="103" t="str">
        <f>'Active and Pre-IPO SPACs'!Q917</f>
        <v/>
      </c>
      <c r="I916" s="91" t="str">
        <f>'Active and Pre-IPO SPACs'!K917</f>
        <v/>
      </c>
    </row>
    <row r="917">
      <c r="A917" s="103" t="str">
        <f>'Active and Pre-IPO SPACs'!A918</f>
        <v/>
      </c>
      <c r="B917" s="91" t="str">
        <f>'Active and Pre-IPO SPACs'!B918</f>
        <v/>
      </c>
      <c r="C917" s="91" t="str">
        <f>'Active and Pre-IPO SPACs'!C918</f>
        <v/>
      </c>
      <c r="D917" s="91" t="str">
        <f>'Active and Pre-IPO SPACs'!D918</f>
        <v/>
      </c>
      <c r="E917" s="91" t="str">
        <f>'Active and Pre-IPO SPACs'!E918</f>
        <v/>
      </c>
      <c r="F917" s="91" t="str">
        <f>'Active and Pre-IPO SPACs'!F918</f>
        <v/>
      </c>
      <c r="G917" s="103" t="str">
        <f>'Active and Pre-IPO SPACs'!P918</f>
        <v/>
      </c>
      <c r="H917" s="103" t="str">
        <f>'Active and Pre-IPO SPACs'!Q918</f>
        <v/>
      </c>
      <c r="I917" s="91" t="str">
        <f>'Active and Pre-IPO SPACs'!K918</f>
        <v/>
      </c>
    </row>
    <row r="918">
      <c r="A918" s="103" t="str">
        <f>'Active and Pre-IPO SPACs'!A919</f>
        <v/>
      </c>
      <c r="B918" s="91" t="str">
        <f>'Active and Pre-IPO SPACs'!B919</f>
        <v/>
      </c>
      <c r="C918" s="91" t="str">
        <f>'Active and Pre-IPO SPACs'!C919</f>
        <v/>
      </c>
      <c r="D918" s="91" t="str">
        <f>'Active and Pre-IPO SPACs'!D919</f>
        <v/>
      </c>
      <c r="E918" s="91" t="str">
        <f>'Active and Pre-IPO SPACs'!E919</f>
        <v/>
      </c>
      <c r="F918" s="91" t="str">
        <f>'Active and Pre-IPO SPACs'!F919</f>
        <v/>
      </c>
      <c r="G918" s="103" t="str">
        <f>'Active and Pre-IPO SPACs'!P919</f>
        <v/>
      </c>
      <c r="H918" s="103" t="str">
        <f>'Active and Pre-IPO SPACs'!Q919</f>
        <v/>
      </c>
      <c r="I918" s="91" t="str">
        <f>'Active and Pre-IPO SPACs'!K919</f>
        <v/>
      </c>
    </row>
    <row r="919">
      <c r="A919" s="103" t="str">
        <f>'Active and Pre-IPO SPACs'!A920</f>
        <v/>
      </c>
      <c r="B919" s="91" t="str">
        <f>'Active and Pre-IPO SPACs'!B920</f>
        <v/>
      </c>
      <c r="C919" s="91" t="str">
        <f>'Active and Pre-IPO SPACs'!C920</f>
        <v/>
      </c>
      <c r="D919" s="91" t="str">
        <f>'Active and Pre-IPO SPACs'!D920</f>
        <v/>
      </c>
      <c r="E919" s="91" t="str">
        <f>'Active and Pre-IPO SPACs'!E920</f>
        <v/>
      </c>
      <c r="F919" s="91" t="str">
        <f>'Active and Pre-IPO SPACs'!F920</f>
        <v/>
      </c>
      <c r="G919" s="103" t="str">
        <f>'Active and Pre-IPO SPACs'!P920</f>
        <v/>
      </c>
      <c r="H919" s="103" t="str">
        <f>'Active and Pre-IPO SPACs'!Q920</f>
        <v/>
      </c>
      <c r="I919" s="91" t="str">
        <f>'Active and Pre-IPO SPACs'!K920</f>
        <v/>
      </c>
    </row>
    <row r="920">
      <c r="A920" s="103" t="str">
        <f>'Active and Pre-IPO SPACs'!A921</f>
        <v/>
      </c>
      <c r="B920" s="91" t="str">
        <f>'Active and Pre-IPO SPACs'!B921</f>
        <v/>
      </c>
      <c r="C920" s="91" t="str">
        <f>'Active and Pre-IPO SPACs'!C921</f>
        <v/>
      </c>
      <c r="D920" s="91" t="str">
        <f>'Active and Pre-IPO SPACs'!D921</f>
        <v/>
      </c>
      <c r="E920" s="91" t="str">
        <f>'Active and Pre-IPO SPACs'!E921</f>
        <v/>
      </c>
      <c r="F920" s="91" t="str">
        <f>'Active and Pre-IPO SPACs'!F921</f>
        <v/>
      </c>
      <c r="G920" s="103" t="str">
        <f>'Active and Pre-IPO SPACs'!P921</f>
        <v/>
      </c>
      <c r="H920" s="103" t="str">
        <f>'Active and Pre-IPO SPACs'!Q921</f>
        <v/>
      </c>
      <c r="I920" s="91" t="str">
        <f>'Active and Pre-IPO SPACs'!K921</f>
        <v/>
      </c>
    </row>
    <row r="921">
      <c r="A921" s="103" t="str">
        <f>'Active and Pre-IPO SPACs'!A922</f>
        <v/>
      </c>
      <c r="B921" s="91" t="str">
        <f>'Active and Pre-IPO SPACs'!B922</f>
        <v/>
      </c>
      <c r="C921" s="91" t="str">
        <f>'Active and Pre-IPO SPACs'!C922</f>
        <v/>
      </c>
      <c r="D921" s="91" t="str">
        <f>'Active and Pre-IPO SPACs'!D922</f>
        <v/>
      </c>
      <c r="E921" s="91" t="str">
        <f>'Active and Pre-IPO SPACs'!E922</f>
        <v/>
      </c>
      <c r="F921" s="91" t="str">
        <f>'Active and Pre-IPO SPACs'!F922</f>
        <v/>
      </c>
      <c r="G921" s="103" t="str">
        <f>'Active and Pre-IPO SPACs'!P922</f>
        <v/>
      </c>
      <c r="H921" s="103" t="str">
        <f>'Active and Pre-IPO SPACs'!Q922</f>
        <v/>
      </c>
      <c r="I921" s="91" t="str">
        <f>'Active and Pre-IPO SPACs'!K922</f>
        <v/>
      </c>
    </row>
    <row r="922">
      <c r="A922" s="103" t="str">
        <f>'Active and Pre-IPO SPACs'!A923</f>
        <v/>
      </c>
      <c r="B922" s="91" t="str">
        <f>'Active and Pre-IPO SPACs'!B923</f>
        <v/>
      </c>
      <c r="C922" s="91" t="str">
        <f>'Active and Pre-IPO SPACs'!C923</f>
        <v/>
      </c>
      <c r="D922" s="91" t="str">
        <f>'Active and Pre-IPO SPACs'!D923</f>
        <v/>
      </c>
      <c r="E922" s="91" t="str">
        <f>'Active and Pre-IPO SPACs'!E923</f>
        <v/>
      </c>
      <c r="F922" s="91" t="str">
        <f>'Active and Pre-IPO SPACs'!F923</f>
        <v/>
      </c>
      <c r="G922" s="103" t="str">
        <f>'Active and Pre-IPO SPACs'!P923</f>
        <v/>
      </c>
      <c r="H922" s="103" t="str">
        <f>'Active and Pre-IPO SPACs'!Q923</f>
        <v/>
      </c>
      <c r="I922" s="91" t="str">
        <f>'Active and Pre-IPO SPACs'!K923</f>
        <v/>
      </c>
    </row>
    <row r="923">
      <c r="A923" s="103" t="str">
        <f>'Active and Pre-IPO SPACs'!A924</f>
        <v/>
      </c>
      <c r="B923" s="91" t="str">
        <f>'Active and Pre-IPO SPACs'!B924</f>
        <v/>
      </c>
      <c r="C923" s="91" t="str">
        <f>'Active and Pre-IPO SPACs'!C924</f>
        <v/>
      </c>
      <c r="D923" s="91" t="str">
        <f>'Active and Pre-IPO SPACs'!D924</f>
        <v/>
      </c>
      <c r="E923" s="91" t="str">
        <f>'Active and Pre-IPO SPACs'!E924</f>
        <v/>
      </c>
      <c r="F923" s="91" t="str">
        <f>'Active and Pre-IPO SPACs'!F924</f>
        <v/>
      </c>
      <c r="G923" s="103" t="str">
        <f>'Active and Pre-IPO SPACs'!P924</f>
        <v/>
      </c>
      <c r="H923" s="103" t="str">
        <f>'Active and Pre-IPO SPACs'!Q924</f>
        <v/>
      </c>
      <c r="I923" s="91" t="str">
        <f>'Active and Pre-IPO SPACs'!K924</f>
        <v/>
      </c>
    </row>
    <row r="924">
      <c r="A924" s="103" t="str">
        <f>'Active and Pre-IPO SPACs'!A925</f>
        <v/>
      </c>
      <c r="B924" s="91" t="str">
        <f>'Active and Pre-IPO SPACs'!B925</f>
        <v/>
      </c>
      <c r="C924" s="91" t="str">
        <f>'Active and Pre-IPO SPACs'!C925</f>
        <v/>
      </c>
      <c r="D924" s="91" t="str">
        <f>'Active and Pre-IPO SPACs'!D925</f>
        <v/>
      </c>
      <c r="E924" s="91" t="str">
        <f>'Active and Pre-IPO SPACs'!E925</f>
        <v/>
      </c>
      <c r="F924" s="91" t="str">
        <f>'Active and Pre-IPO SPACs'!F925</f>
        <v/>
      </c>
      <c r="G924" s="103" t="str">
        <f>'Active and Pre-IPO SPACs'!P925</f>
        <v/>
      </c>
      <c r="H924" s="103" t="str">
        <f>'Active and Pre-IPO SPACs'!Q925</f>
        <v/>
      </c>
      <c r="I924" s="91" t="str">
        <f>'Active and Pre-IPO SPACs'!K925</f>
        <v/>
      </c>
    </row>
    <row r="925">
      <c r="A925" s="103" t="str">
        <f>'Active and Pre-IPO SPACs'!A926</f>
        <v/>
      </c>
      <c r="B925" s="91" t="str">
        <f>'Active and Pre-IPO SPACs'!B926</f>
        <v/>
      </c>
      <c r="C925" s="91" t="str">
        <f>'Active and Pre-IPO SPACs'!C926</f>
        <v/>
      </c>
      <c r="D925" s="91" t="str">
        <f>'Active and Pre-IPO SPACs'!D926</f>
        <v/>
      </c>
      <c r="E925" s="91" t="str">
        <f>'Active and Pre-IPO SPACs'!E926</f>
        <v/>
      </c>
      <c r="F925" s="91" t="str">
        <f>'Active and Pre-IPO SPACs'!F926</f>
        <v/>
      </c>
      <c r="G925" s="103" t="str">
        <f>'Active and Pre-IPO SPACs'!P926</f>
        <v/>
      </c>
      <c r="H925" s="103" t="str">
        <f>'Active and Pre-IPO SPACs'!Q926</f>
        <v/>
      </c>
      <c r="I925" s="91" t="str">
        <f>'Active and Pre-IPO SPACs'!K926</f>
        <v/>
      </c>
    </row>
    <row r="926">
      <c r="A926" s="103" t="str">
        <f>'Active and Pre-IPO SPACs'!A927</f>
        <v/>
      </c>
      <c r="B926" s="91" t="str">
        <f>'Active and Pre-IPO SPACs'!B927</f>
        <v/>
      </c>
      <c r="C926" s="91" t="str">
        <f>'Active and Pre-IPO SPACs'!C927</f>
        <v/>
      </c>
      <c r="D926" s="91" t="str">
        <f>'Active and Pre-IPO SPACs'!D927</f>
        <v/>
      </c>
      <c r="E926" s="91" t="str">
        <f>'Active and Pre-IPO SPACs'!E927</f>
        <v/>
      </c>
      <c r="F926" s="91" t="str">
        <f>'Active and Pre-IPO SPACs'!F927</f>
        <v/>
      </c>
      <c r="G926" s="103" t="str">
        <f>'Active and Pre-IPO SPACs'!P927</f>
        <v/>
      </c>
      <c r="H926" s="103" t="str">
        <f>'Active and Pre-IPO SPACs'!Q927</f>
        <v/>
      </c>
      <c r="I926" s="91" t="str">
        <f>'Active and Pre-IPO SPACs'!K927</f>
        <v/>
      </c>
    </row>
    <row r="927">
      <c r="A927" s="103" t="str">
        <f>'Active and Pre-IPO SPACs'!A928</f>
        <v/>
      </c>
      <c r="B927" s="91" t="str">
        <f>'Active and Pre-IPO SPACs'!B928</f>
        <v/>
      </c>
      <c r="C927" s="91" t="str">
        <f>'Active and Pre-IPO SPACs'!C928</f>
        <v/>
      </c>
      <c r="D927" s="91" t="str">
        <f>'Active and Pre-IPO SPACs'!D928</f>
        <v/>
      </c>
      <c r="E927" s="91" t="str">
        <f>'Active and Pre-IPO SPACs'!E928</f>
        <v/>
      </c>
      <c r="F927" s="91" t="str">
        <f>'Active and Pre-IPO SPACs'!F928</f>
        <v/>
      </c>
      <c r="G927" s="103" t="str">
        <f>'Active and Pre-IPO SPACs'!P928</f>
        <v/>
      </c>
      <c r="H927" s="103" t="str">
        <f>'Active and Pre-IPO SPACs'!Q928</f>
        <v/>
      </c>
      <c r="I927" s="91" t="str">
        <f>'Active and Pre-IPO SPACs'!K928</f>
        <v/>
      </c>
    </row>
    <row r="928">
      <c r="A928" s="103" t="str">
        <f>'Active and Pre-IPO SPACs'!A929</f>
        <v/>
      </c>
      <c r="B928" s="91" t="str">
        <f>'Active and Pre-IPO SPACs'!B929</f>
        <v/>
      </c>
      <c r="C928" s="91" t="str">
        <f>'Active and Pre-IPO SPACs'!C929</f>
        <v/>
      </c>
      <c r="D928" s="91" t="str">
        <f>'Active and Pre-IPO SPACs'!D929</f>
        <v/>
      </c>
      <c r="E928" s="91" t="str">
        <f>'Active and Pre-IPO SPACs'!E929</f>
        <v/>
      </c>
      <c r="F928" s="91" t="str">
        <f>'Active and Pre-IPO SPACs'!F929</f>
        <v/>
      </c>
      <c r="G928" s="103" t="str">
        <f>'Active and Pre-IPO SPACs'!P929</f>
        <v/>
      </c>
      <c r="H928" s="103" t="str">
        <f>'Active and Pre-IPO SPACs'!Q929</f>
        <v/>
      </c>
      <c r="I928" s="91" t="str">
        <f>'Active and Pre-IPO SPACs'!K929</f>
        <v/>
      </c>
    </row>
    <row r="929">
      <c r="A929" s="103" t="str">
        <f>'Active and Pre-IPO SPACs'!A930</f>
        <v/>
      </c>
      <c r="B929" s="91" t="str">
        <f>'Active and Pre-IPO SPACs'!B930</f>
        <v/>
      </c>
      <c r="C929" s="91" t="str">
        <f>'Active and Pre-IPO SPACs'!C930</f>
        <v/>
      </c>
      <c r="D929" s="91" t="str">
        <f>'Active and Pre-IPO SPACs'!D930</f>
        <v/>
      </c>
      <c r="E929" s="91" t="str">
        <f>'Active and Pre-IPO SPACs'!E930</f>
        <v/>
      </c>
      <c r="F929" s="91" t="str">
        <f>'Active and Pre-IPO SPACs'!F930</f>
        <v/>
      </c>
      <c r="G929" s="103" t="str">
        <f>'Active and Pre-IPO SPACs'!P930</f>
        <v/>
      </c>
      <c r="H929" s="103" t="str">
        <f>'Active and Pre-IPO SPACs'!Q930</f>
        <v/>
      </c>
      <c r="I929" s="91" t="str">
        <f>'Active and Pre-IPO SPACs'!K930</f>
        <v/>
      </c>
    </row>
    <row r="930">
      <c r="A930" s="103" t="str">
        <f>'Active and Pre-IPO SPACs'!A931</f>
        <v/>
      </c>
      <c r="B930" s="91" t="str">
        <f>'Active and Pre-IPO SPACs'!B931</f>
        <v/>
      </c>
      <c r="C930" s="91" t="str">
        <f>'Active and Pre-IPO SPACs'!C931</f>
        <v/>
      </c>
      <c r="D930" s="91" t="str">
        <f>'Active and Pre-IPO SPACs'!D931</f>
        <v/>
      </c>
      <c r="E930" s="91" t="str">
        <f>'Active and Pre-IPO SPACs'!E931</f>
        <v/>
      </c>
      <c r="F930" s="91" t="str">
        <f>'Active and Pre-IPO SPACs'!F931</f>
        <v/>
      </c>
      <c r="G930" s="103" t="str">
        <f>'Active and Pre-IPO SPACs'!P931</f>
        <v/>
      </c>
      <c r="H930" s="103" t="str">
        <f>'Active and Pre-IPO SPACs'!Q931</f>
        <v/>
      </c>
      <c r="I930" s="91" t="str">
        <f>'Active and Pre-IPO SPACs'!K931</f>
        <v/>
      </c>
    </row>
    <row r="931">
      <c r="A931" s="103" t="str">
        <f>'Active and Pre-IPO SPACs'!A932</f>
        <v/>
      </c>
      <c r="B931" s="91" t="str">
        <f>'Active and Pre-IPO SPACs'!B932</f>
        <v/>
      </c>
      <c r="C931" s="91" t="str">
        <f>'Active and Pre-IPO SPACs'!C932</f>
        <v/>
      </c>
      <c r="D931" s="91" t="str">
        <f>'Active and Pre-IPO SPACs'!D932</f>
        <v/>
      </c>
      <c r="E931" s="91" t="str">
        <f>'Active and Pre-IPO SPACs'!E932</f>
        <v/>
      </c>
      <c r="F931" s="91" t="str">
        <f>'Active and Pre-IPO SPACs'!F932</f>
        <v/>
      </c>
      <c r="G931" s="103" t="str">
        <f>'Active and Pre-IPO SPACs'!P932</f>
        <v/>
      </c>
      <c r="H931" s="103" t="str">
        <f>'Active and Pre-IPO SPACs'!Q932</f>
        <v/>
      </c>
      <c r="I931" s="91" t="str">
        <f>'Active and Pre-IPO SPACs'!K932</f>
        <v/>
      </c>
    </row>
    <row r="932">
      <c r="A932" s="103" t="str">
        <f>'Active and Pre-IPO SPACs'!A933</f>
        <v/>
      </c>
      <c r="B932" s="91" t="str">
        <f>'Active and Pre-IPO SPACs'!B933</f>
        <v/>
      </c>
      <c r="C932" s="91" t="str">
        <f>'Active and Pre-IPO SPACs'!C933</f>
        <v/>
      </c>
      <c r="D932" s="91" t="str">
        <f>'Active and Pre-IPO SPACs'!D933</f>
        <v/>
      </c>
      <c r="E932" s="91" t="str">
        <f>'Active and Pre-IPO SPACs'!E933</f>
        <v/>
      </c>
      <c r="F932" s="91" t="str">
        <f>'Active and Pre-IPO SPACs'!F933</f>
        <v/>
      </c>
      <c r="G932" s="103" t="str">
        <f>'Active and Pre-IPO SPACs'!P933</f>
        <v/>
      </c>
      <c r="H932" s="103" t="str">
        <f>'Active and Pre-IPO SPACs'!Q933</f>
        <v/>
      </c>
      <c r="I932" s="91" t="str">
        <f>'Active and Pre-IPO SPACs'!K933</f>
        <v/>
      </c>
    </row>
    <row r="933">
      <c r="A933" s="103" t="str">
        <f>'Active and Pre-IPO SPACs'!A934</f>
        <v/>
      </c>
      <c r="B933" s="91" t="str">
        <f>'Active and Pre-IPO SPACs'!B934</f>
        <v/>
      </c>
      <c r="C933" s="91" t="str">
        <f>'Active and Pre-IPO SPACs'!C934</f>
        <v/>
      </c>
      <c r="D933" s="91" t="str">
        <f>'Active and Pre-IPO SPACs'!D934</f>
        <v/>
      </c>
      <c r="E933" s="91" t="str">
        <f>'Active and Pre-IPO SPACs'!E934</f>
        <v/>
      </c>
      <c r="F933" s="91" t="str">
        <f>'Active and Pre-IPO SPACs'!F934</f>
        <v/>
      </c>
      <c r="G933" s="103" t="str">
        <f>'Active and Pre-IPO SPACs'!P934</f>
        <v/>
      </c>
      <c r="H933" s="103" t="str">
        <f>'Active and Pre-IPO SPACs'!Q934</f>
        <v/>
      </c>
      <c r="I933" s="91" t="str">
        <f>'Active and Pre-IPO SPACs'!K934</f>
        <v/>
      </c>
    </row>
    <row r="934">
      <c r="A934" s="103" t="str">
        <f>'Active and Pre-IPO SPACs'!A935</f>
        <v/>
      </c>
      <c r="B934" s="91" t="str">
        <f>'Active and Pre-IPO SPACs'!B935</f>
        <v/>
      </c>
      <c r="C934" s="91" t="str">
        <f>'Active and Pre-IPO SPACs'!C935</f>
        <v/>
      </c>
      <c r="D934" s="91" t="str">
        <f>'Active and Pre-IPO SPACs'!D935</f>
        <v/>
      </c>
      <c r="E934" s="91" t="str">
        <f>'Active and Pre-IPO SPACs'!E935</f>
        <v/>
      </c>
      <c r="F934" s="91" t="str">
        <f>'Active and Pre-IPO SPACs'!F935</f>
        <v/>
      </c>
      <c r="G934" s="103" t="str">
        <f>'Active and Pre-IPO SPACs'!P935</f>
        <v/>
      </c>
      <c r="H934" s="103" t="str">
        <f>'Active and Pre-IPO SPACs'!Q935</f>
        <v/>
      </c>
      <c r="I934" s="91" t="str">
        <f>'Active and Pre-IPO SPACs'!K935</f>
        <v/>
      </c>
    </row>
    <row r="935">
      <c r="A935" s="103" t="str">
        <f>'Active and Pre-IPO SPACs'!A936</f>
        <v/>
      </c>
      <c r="B935" s="91" t="str">
        <f>'Active and Pre-IPO SPACs'!B936</f>
        <v/>
      </c>
      <c r="C935" s="91" t="str">
        <f>'Active and Pre-IPO SPACs'!C936</f>
        <v/>
      </c>
      <c r="D935" s="91" t="str">
        <f>'Active and Pre-IPO SPACs'!D936</f>
        <v/>
      </c>
      <c r="E935" s="91" t="str">
        <f>'Active and Pre-IPO SPACs'!E936</f>
        <v/>
      </c>
      <c r="F935" s="91" t="str">
        <f>'Active and Pre-IPO SPACs'!F936</f>
        <v/>
      </c>
      <c r="G935" s="103" t="str">
        <f>'Active and Pre-IPO SPACs'!P936</f>
        <v/>
      </c>
      <c r="H935" s="103" t="str">
        <f>'Active and Pre-IPO SPACs'!Q936</f>
        <v/>
      </c>
      <c r="I935" s="91" t="str">
        <f>'Active and Pre-IPO SPACs'!K936</f>
        <v/>
      </c>
    </row>
    <row r="936">
      <c r="A936" s="103" t="str">
        <f>'Active and Pre-IPO SPACs'!A937</f>
        <v/>
      </c>
      <c r="B936" s="91" t="str">
        <f>'Active and Pre-IPO SPACs'!B937</f>
        <v/>
      </c>
      <c r="C936" s="91" t="str">
        <f>'Active and Pre-IPO SPACs'!C937</f>
        <v/>
      </c>
      <c r="D936" s="91" t="str">
        <f>'Active and Pre-IPO SPACs'!D937</f>
        <v/>
      </c>
      <c r="E936" s="91" t="str">
        <f>'Active and Pre-IPO SPACs'!E937</f>
        <v/>
      </c>
      <c r="F936" s="91" t="str">
        <f>'Active and Pre-IPO SPACs'!F937</f>
        <v/>
      </c>
      <c r="G936" s="103" t="str">
        <f>'Active and Pre-IPO SPACs'!P937</f>
        <v/>
      </c>
      <c r="H936" s="103" t="str">
        <f>'Active and Pre-IPO SPACs'!Q937</f>
        <v/>
      </c>
      <c r="I936" s="91" t="str">
        <f>'Active and Pre-IPO SPACs'!K937</f>
        <v/>
      </c>
    </row>
    <row r="937">
      <c r="A937" s="103" t="str">
        <f>'Active and Pre-IPO SPACs'!A938</f>
        <v/>
      </c>
      <c r="B937" s="91" t="str">
        <f>'Active and Pre-IPO SPACs'!B938</f>
        <v/>
      </c>
      <c r="C937" s="91" t="str">
        <f>'Active and Pre-IPO SPACs'!C938</f>
        <v/>
      </c>
      <c r="D937" s="91" t="str">
        <f>'Active and Pre-IPO SPACs'!D938</f>
        <v/>
      </c>
      <c r="E937" s="91" t="str">
        <f>'Active and Pre-IPO SPACs'!E938</f>
        <v/>
      </c>
      <c r="F937" s="91" t="str">
        <f>'Active and Pre-IPO SPACs'!F938</f>
        <v/>
      </c>
      <c r="G937" s="103" t="str">
        <f>'Active and Pre-IPO SPACs'!P938</f>
        <v/>
      </c>
      <c r="H937" s="103" t="str">
        <f>'Active and Pre-IPO SPACs'!Q938</f>
        <v/>
      </c>
      <c r="I937" s="91" t="str">
        <f>'Active and Pre-IPO SPACs'!K938</f>
        <v/>
      </c>
    </row>
    <row r="938">
      <c r="A938" s="103" t="str">
        <f>'Active and Pre-IPO SPACs'!A939</f>
        <v/>
      </c>
      <c r="B938" s="91" t="str">
        <f>'Active and Pre-IPO SPACs'!B939</f>
        <v/>
      </c>
      <c r="C938" s="91" t="str">
        <f>'Active and Pre-IPO SPACs'!C939</f>
        <v/>
      </c>
      <c r="D938" s="91" t="str">
        <f>'Active and Pre-IPO SPACs'!D939</f>
        <v/>
      </c>
      <c r="E938" s="91" t="str">
        <f>'Active and Pre-IPO SPACs'!E939</f>
        <v/>
      </c>
      <c r="F938" s="91" t="str">
        <f>'Active and Pre-IPO SPACs'!F939</f>
        <v/>
      </c>
      <c r="G938" s="103" t="str">
        <f>'Active and Pre-IPO SPACs'!P939</f>
        <v/>
      </c>
      <c r="H938" s="103" t="str">
        <f>'Active and Pre-IPO SPACs'!Q939</f>
        <v/>
      </c>
      <c r="I938" s="91" t="str">
        <f>'Active and Pre-IPO SPACs'!K939</f>
        <v/>
      </c>
    </row>
    <row r="939">
      <c r="A939" s="103" t="str">
        <f>'Active and Pre-IPO SPACs'!A940</f>
        <v/>
      </c>
      <c r="B939" s="91" t="str">
        <f>'Active and Pre-IPO SPACs'!B940</f>
        <v/>
      </c>
      <c r="C939" s="91" t="str">
        <f>'Active and Pre-IPO SPACs'!C940</f>
        <v/>
      </c>
      <c r="D939" s="91" t="str">
        <f>'Active and Pre-IPO SPACs'!D940</f>
        <v/>
      </c>
      <c r="E939" s="91" t="str">
        <f>'Active and Pre-IPO SPACs'!E940</f>
        <v/>
      </c>
      <c r="F939" s="91" t="str">
        <f>'Active and Pre-IPO SPACs'!F940</f>
        <v/>
      </c>
      <c r="G939" s="103" t="str">
        <f>'Active and Pre-IPO SPACs'!P940</f>
        <v/>
      </c>
      <c r="H939" s="103" t="str">
        <f>'Active and Pre-IPO SPACs'!Q940</f>
        <v/>
      </c>
      <c r="I939" s="91" t="str">
        <f>'Active and Pre-IPO SPACs'!K940</f>
        <v/>
      </c>
    </row>
    <row r="940">
      <c r="A940" s="103" t="str">
        <f>'Active and Pre-IPO SPACs'!A941</f>
        <v/>
      </c>
      <c r="B940" s="91" t="str">
        <f>'Active and Pre-IPO SPACs'!B941</f>
        <v/>
      </c>
      <c r="C940" s="91" t="str">
        <f>'Active and Pre-IPO SPACs'!C941</f>
        <v/>
      </c>
      <c r="D940" s="91" t="str">
        <f>'Active and Pre-IPO SPACs'!D941</f>
        <v/>
      </c>
      <c r="E940" s="91" t="str">
        <f>'Active and Pre-IPO SPACs'!E941</f>
        <v/>
      </c>
      <c r="F940" s="91" t="str">
        <f>'Active and Pre-IPO SPACs'!F941</f>
        <v/>
      </c>
      <c r="G940" s="103" t="str">
        <f>'Active and Pre-IPO SPACs'!P941</f>
        <v/>
      </c>
      <c r="H940" s="103" t="str">
        <f>'Active and Pre-IPO SPACs'!Q941</f>
        <v/>
      </c>
      <c r="I940" s="91" t="str">
        <f>'Active and Pre-IPO SPACs'!K941</f>
        <v/>
      </c>
    </row>
    <row r="941">
      <c r="A941" s="103" t="str">
        <f>'Active and Pre-IPO SPACs'!A942</f>
        <v/>
      </c>
      <c r="B941" s="91" t="str">
        <f>'Active and Pre-IPO SPACs'!B942</f>
        <v/>
      </c>
      <c r="C941" s="91" t="str">
        <f>'Active and Pre-IPO SPACs'!C942</f>
        <v/>
      </c>
      <c r="D941" s="91" t="str">
        <f>'Active and Pre-IPO SPACs'!D942</f>
        <v/>
      </c>
      <c r="E941" s="91" t="str">
        <f>'Active and Pre-IPO SPACs'!E942</f>
        <v/>
      </c>
      <c r="F941" s="91" t="str">
        <f>'Active and Pre-IPO SPACs'!F942</f>
        <v/>
      </c>
      <c r="G941" s="103" t="str">
        <f>'Active and Pre-IPO SPACs'!P942</f>
        <v/>
      </c>
      <c r="H941" s="103" t="str">
        <f>'Active and Pre-IPO SPACs'!Q942</f>
        <v/>
      </c>
      <c r="I941" s="91" t="str">
        <f>'Active and Pre-IPO SPACs'!K942</f>
        <v/>
      </c>
    </row>
    <row r="942">
      <c r="A942" s="103" t="str">
        <f>'Active and Pre-IPO SPACs'!A943</f>
        <v/>
      </c>
      <c r="B942" s="91" t="str">
        <f>'Active and Pre-IPO SPACs'!B943</f>
        <v/>
      </c>
      <c r="C942" s="91" t="str">
        <f>'Active and Pre-IPO SPACs'!C943</f>
        <v/>
      </c>
      <c r="D942" s="91" t="str">
        <f>'Active and Pre-IPO SPACs'!D943</f>
        <v/>
      </c>
      <c r="E942" s="91" t="str">
        <f>'Active and Pre-IPO SPACs'!E943</f>
        <v/>
      </c>
      <c r="F942" s="91" t="str">
        <f>'Active and Pre-IPO SPACs'!F943</f>
        <v/>
      </c>
      <c r="G942" s="103" t="str">
        <f>'Active and Pre-IPO SPACs'!P943</f>
        <v/>
      </c>
      <c r="H942" s="103" t="str">
        <f>'Active and Pre-IPO SPACs'!Q943</f>
        <v/>
      </c>
      <c r="I942" s="91" t="str">
        <f>'Active and Pre-IPO SPACs'!K943</f>
        <v/>
      </c>
    </row>
    <row r="943">
      <c r="A943" s="103" t="str">
        <f>'Active and Pre-IPO SPACs'!A944</f>
        <v/>
      </c>
      <c r="B943" s="91" t="str">
        <f>'Active and Pre-IPO SPACs'!B944</f>
        <v/>
      </c>
      <c r="C943" s="91" t="str">
        <f>'Active and Pre-IPO SPACs'!C944</f>
        <v/>
      </c>
      <c r="D943" s="91" t="str">
        <f>'Active and Pre-IPO SPACs'!D944</f>
        <v/>
      </c>
      <c r="E943" s="91" t="str">
        <f>'Active and Pre-IPO SPACs'!E944</f>
        <v/>
      </c>
      <c r="F943" s="91" t="str">
        <f>'Active and Pre-IPO SPACs'!F944</f>
        <v/>
      </c>
      <c r="G943" s="103" t="str">
        <f>'Active and Pre-IPO SPACs'!P944</f>
        <v/>
      </c>
      <c r="H943" s="103" t="str">
        <f>'Active and Pre-IPO SPACs'!Q944</f>
        <v/>
      </c>
      <c r="I943" s="91" t="str">
        <f>'Active and Pre-IPO SPACs'!K944</f>
        <v/>
      </c>
    </row>
    <row r="944">
      <c r="A944" s="103" t="str">
        <f>'Active and Pre-IPO SPACs'!A945</f>
        <v/>
      </c>
      <c r="B944" s="91" t="str">
        <f>'Active and Pre-IPO SPACs'!B945</f>
        <v/>
      </c>
      <c r="C944" s="91" t="str">
        <f>'Active and Pre-IPO SPACs'!C945</f>
        <v/>
      </c>
      <c r="D944" s="91" t="str">
        <f>'Active and Pre-IPO SPACs'!D945</f>
        <v/>
      </c>
      <c r="E944" s="91" t="str">
        <f>'Active and Pre-IPO SPACs'!E945</f>
        <v/>
      </c>
      <c r="F944" s="91" t="str">
        <f>'Active and Pre-IPO SPACs'!F945</f>
        <v/>
      </c>
      <c r="G944" s="103" t="str">
        <f>'Active and Pre-IPO SPACs'!P945</f>
        <v/>
      </c>
      <c r="H944" s="103" t="str">
        <f>'Active and Pre-IPO SPACs'!Q945</f>
        <v/>
      </c>
      <c r="I944" s="91" t="str">
        <f>'Active and Pre-IPO SPACs'!K945</f>
        <v/>
      </c>
    </row>
    <row r="945">
      <c r="A945" s="103" t="str">
        <f>'Active and Pre-IPO SPACs'!A946</f>
        <v/>
      </c>
      <c r="B945" s="91" t="str">
        <f>'Active and Pre-IPO SPACs'!B946</f>
        <v/>
      </c>
      <c r="C945" s="91" t="str">
        <f>'Active and Pre-IPO SPACs'!C946</f>
        <v/>
      </c>
      <c r="D945" s="91" t="str">
        <f>'Active and Pre-IPO SPACs'!D946</f>
        <v/>
      </c>
      <c r="E945" s="91" t="str">
        <f>'Active and Pre-IPO SPACs'!E946</f>
        <v/>
      </c>
      <c r="F945" s="91" t="str">
        <f>'Active and Pre-IPO SPACs'!F946</f>
        <v/>
      </c>
      <c r="G945" s="103" t="str">
        <f>'Active and Pre-IPO SPACs'!P946</f>
        <v/>
      </c>
      <c r="H945" s="103" t="str">
        <f>'Active and Pre-IPO SPACs'!Q946</f>
        <v/>
      </c>
      <c r="I945" s="91" t="str">
        <f>'Active and Pre-IPO SPACs'!K946</f>
        <v/>
      </c>
    </row>
    <row r="946">
      <c r="A946" s="103" t="str">
        <f>'Active and Pre-IPO SPACs'!A947</f>
        <v/>
      </c>
      <c r="B946" s="91" t="str">
        <f>'Active and Pre-IPO SPACs'!B947</f>
        <v/>
      </c>
      <c r="C946" s="91" t="str">
        <f>'Active and Pre-IPO SPACs'!C947</f>
        <v/>
      </c>
      <c r="D946" s="91" t="str">
        <f>'Active and Pre-IPO SPACs'!D947</f>
        <v/>
      </c>
      <c r="E946" s="91" t="str">
        <f>'Active and Pre-IPO SPACs'!E947</f>
        <v/>
      </c>
      <c r="F946" s="91" t="str">
        <f>'Active and Pre-IPO SPACs'!F947</f>
        <v/>
      </c>
      <c r="G946" s="103" t="str">
        <f>'Active and Pre-IPO SPACs'!P947</f>
        <v/>
      </c>
      <c r="H946" s="103" t="str">
        <f>'Active and Pre-IPO SPACs'!Q947</f>
        <v/>
      </c>
      <c r="I946" s="91" t="str">
        <f>'Active and Pre-IPO SPACs'!K947</f>
        <v/>
      </c>
    </row>
    <row r="947">
      <c r="A947" s="103" t="str">
        <f>'Active and Pre-IPO SPACs'!A948</f>
        <v/>
      </c>
      <c r="B947" s="91" t="str">
        <f>'Active and Pre-IPO SPACs'!B948</f>
        <v/>
      </c>
      <c r="C947" s="91" t="str">
        <f>'Active and Pre-IPO SPACs'!C948</f>
        <v/>
      </c>
      <c r="D947" s="91" t="str">
        <f>'Active and Pre-IPO SPACs'!D948</f>
        <v/>
      </c>
      <c r="E947" s="91" t="str">
        <f>'Active and Pre-IPO SPACs'!E948</f>
        <v/>
      </c>
      <c r="F947" s="91" t="str">
        <f>'Active and Pre-IPO SPACs'!F948</f>
        <v/>
      </c>
      <c r="G947" s="103" t="str">
        <f>'Active and Pre-IPO SPACs'!P948</f>
        <v/>
      </c>
      <c r="H947" s="103" t="str">
        <f>'Active and Pre-IPO SPACs'!Q948</f>
        <v/>
      </c>
      <c r="I947" s="91" t="str">
        <f>'Active and Pre-IPO SPACs'!K948</f>
        <v/>
      </c>
    </row>
    <row r="948">
      <c r="A948" s="103" t="str">
        <f>'Active and Pre-IPO SPACs'!A949</f>
        <v/>
      </c>
      <c r="B948" s="91" t="str">
        <f>'Active and Pre-IPO SPACs'!B949</f>
        <v/>
      </c>
      <c r="C948" s="91" t="str">
        <f>'Active and Pre-IPO SPACs'!C949</f>
        <v/>
      </c>
      <c r="D948" s="91" t="str">
        <f>'Active and Pre-IPO SPACs'!D949</f>
        <v/>
      </c>
      <c r="E948" s="91" t="str">
        <f>'Active and Pre-IPO SPACs'!E949</f>
        <v/>
      </c>
      <c r="F948" s="91" t="str">
        <f>'Active and Pre-IPO SPACs'!F949</f>
        <v/>
      </c>
      <c r="G948" s="103" t="str">
        <f>'Active and Pre-IPO SPACs'!P949</f>
        <v/>
      </c>
      <c r="H948" s="103" t="str">
        <f>'Active and Pre-IPO SPACs'!Q949</f>
        <v/>
      </c>
      <c r="I948" s="91" t="str">
        <f>'Active and Pre-IPO SPACs'!K949</f>
        <v/>
      </c>
    </row>
    <row r="949">
      <c r="A949" s="103" t="str">
        <f>'Active and Pre-IPO SPACs'!A950</f>
        <v/>
      </c>
      <c r="B949" s="91" t="str">
        <f>'Active and Pre-IPO SPACs'!B950</f>
        <v/>
      </c>
      <c r="C949" s="91" t="str">
        <f>'Active and Pre-IPO SPACs'!C950</f>
        <v/>
      </c>
      <c r="D949" s="91" t="str">
        <f>'Active and Pre-IPO SPACs'!D950</f>
        <v/>
      </c>
      <c r="E949" s="91" t="str">
        <f>'Active and Pre-IPO SPACs'!E950</f>
        <v/>
      </c>
      <c r="F949" s="91" t="str">
        <f>'Active and Pre-IPO SPACs'!F950</f>
        <v/>
      </c>
      <c r="G949" s="103" t="str">
        <f>'Active and Pre-IPO SPACs'!P950</f>
        <v/>
      </c>
      <c r="H949" s="103" t="str">
        <f>'Active and Pre-IPO SPACs'!Q950</f>
        <v/>
      </c>
      <c r="I949" s="91" t="str">
        <f>'Active and Pre-IPO SPACs'!K950</f>
        <v/>
      </c>
    </row>
    <row r="950">
      <c r="A950" s="103" t="str">
        <f>'Active and Pre-IPO SPACs'!A951</f>
        <v/>
      </c>
      <c r="B950" s="91" t="str">
        <f>'Active and Pre-IPO SPACs'!B951</f>
        <v/>
      </c>
      <c r="C950" s="91" t="str">
        <f>'Active and Pre-IPO SPACs'!C951</f>
        <v/>
      </c>
      <c r="D950" s="91" t="str">
        <f>'Active and Pre-IPO SPACs'!D951</f>
        <v/>
      </c>
      <c r="E950" s="91" t="str">
        <f>'Active and Pre-IPO SPACs'!E951</f>
        <v/>
      </c>
      <c r="F950" s="91" t="str">
        <f>'Active and Pre-IPO SPACs'!F951</f>
        <v/>
      </c>
      <c r="G950" s="103" t="str">
        <f>'Active and Pre-IPO SPACs'!P951</f>
        <v/>
      </c>
      <c r="H950" s="103" t="str">
        <f>'Active and Pre-IPO SPACs'!Q951</f>
        <v/>
      </c>
      <c r="I950" s="91" t="str">
        <f>'Active and Pre-IPO SPACs'!K951</f>
        <v/>
      </c>
    </row>
    <row r="951">
      <c r="A951" s="103" t="str">
        <f>'Active and Pre-IPO SPACs'!A952</f>
        <v/>
      </c>
      <c r="B951" s="91" t="str">
        <f>'Active and Pre-IPO SPACs'!B952</f>
        <v/>
      </c>
      <c r="C951" s="91" t="str">
        <f>'Active and Pre-IPO SPACs'!C952</f>
        <v/>
      </c>
      <c r="D951" s="91" t="str">
        <f>'Active and Pre-IPO SPACs'!D952</f>
        <v/>
      </c>
      <c r="E951" s="91" t="str">
        <f>'Active and Pre-IPO SPACs'!E952</f>
        <v/>
      </c>
      <c r="F951" s="91" t="str">
        <f>'Active and Pre-IPO SPACs'!F952</f>
        <v/>
      </c>
      <c r="G951" s="103" t="str">
        <f>'Active and Pre-IPO SPACs'!P952</f>
        <v/>
      </c>
      <c r="H951" s="103" t="str">
        <f>'Active and Pre-IPO SPACs'!Q952</f>
        <v/>
      </c>
      <c r="I951" s="91" t="str">
        <f>'Active and Pre-IPO SPACs'!K952</f>
        <v/>
      </c>
    </row>
    <row r="952">
      <c r="A952" s="103" t="str">
        <f>'Active and Pre-IPO SPACs'!A953</f>
        <v/>
      </c>
      <c r="B952" s="91" t="str">
        <f>'Active and Pre-IPO SPACs'!B953</f>
        <v/>
      </c>
      <c r="C952" s="91" t="str">
        <f>'Active and Pre-IPO SPACs'!C953</f>
        <v/>
      </c>
      <c r="D952" s="91" t="str">
        <f>'Active and Pre-IPO SPACs'!D953</f>
        <v/>
      </c>
      <c r="E952" s="91" t="str">
        <f>'Active and Pre-IPO SPACs'!E953</f>
        <v/>
      </c>
      <c r="F952" s="91" t="str">
        <f>'Active and Pre-IPO SPACs'!F953</f>
        <v/>
      </c>
      <c r="G952" s="103" t="str">
        <f>'Active and Pre-IPO SPACs'!P953</f>
        <v/>
      </c>
      <c r="H952" s="103" t="str">
        <f>'Active and Pre-IPO SPACs'!Q953</f>
        <v/>
      </c>
      <c r="I952" s="91" t="str">
        <f>'Active and Pre-IPO SPACs'!K953</f>
        <v/>
      </c>
    </row>
    <row r="953">
      <c r="A953" s="103" t="str">
        <f>'Active and Pre-IPO SPACs'!A954</f>
        <v/>
      </c>
      <c r="B953" s="91" t="str">
        <f>'Active and Pre-IPO SPACs'!B954</f>
        <v/>
      </c>
      <c r="C953" s="91" t="str">
        <f>'Active and Pre-IPO SPACs'!C954</f>
        <v/>
      </c>
      <c r="D953" s="91" t="str">
        <f>'Active and Pre-IPO SPACs'!D954</f>
        <v/>
      </c>
      <c r="E953" s="91" t="str">
        <f>'Active and Pre-IPO SPACs'!E954</f>
        <v/>
      </c>
      <c r="F953" s="91" t="str">
        <f>'Active and Pre-IPO SPACs'!F954</f>
        <v/>
      </c>
      <c r="G953" s="103" t="str">
        <f>'Active and Pre-IPO SPACs'!P954</f>
        <v/>
      </c>
      <c r="H953" s="103" t="str">
        <f>'Active and Pre-IPO SPACs'!Q954</f>
        <v/>
      </c>
      <c r="I953" s="91" t="str">
        <f>'Active and Pre-IPO SPACs'!K954</f>
        <v/>
      </c>
    </row>
    <row r="954">
      <c r="A954" s="103" t="str">
        <f>'Active and Pre-IPO SPACs'!A955</f>
        <v/>
      </c>
      <c r="B954" s="91" t="str">
        <f>'Active and Pre-IPO SPACs'!B955</f>
        <v/>
      </c>
      <c r="C954" s="91" t="str">
        <f>'Active and Pre-IPO SPACs'!C955</f>
        <v/>
      </c>
      <c r="D954" s="91" t="str">
        <f>'Active and Pre-IPO SPACs'!D955</f>
        <v/>
      </c>
      <c r="E954" s="91" t="str">
        <f>'Active and Pre-IPO SPACs'!E955</f>
        <v/>
      </c>
      <c r="F954" s="91" t="str">
        <f>'Active and Pre-IPO SPACs'!F955</f>
        <v/>
      </c>
      <c r="G954" s="103" t="str">
        <f>'Active and Pre-IPO SPACs'!P955</f>
        <v/>
      </c>
      <c r="H954" s="103" t="str">
        <f>'Active and Pre-IPO SPACs'!Q955</f>
        <v/>
      </c>
      <c r="I954" s="91" t="str">
        <f>'Active and Pre-IPO SPACs'!K955</f>
        <v/>
      </c>
    </row>
    <row r="955">
      <c r="A955" s="103" t="str">
        <f>'Active and Pre-IPO SPACs'!A956</f>
        <v/>
      </c>
      <c r="B955" s="91" t="str">
        <f>'Active and Pre-IPO SPACs'!B956</f>
        <v/>
      </c>
      <c r="C955" s="91" t="str">
        <f>'Active and Pre-IPO SPACs'!C956</f>
        <v/>
      </c>
      <c r="D955" s="91" t="str">
        <f>'Active and Pre-IPO SPACs'!D956</f>
        <v/>
      </c>
      <c r="E955" s="91" t="str">
        <f>'Active and Pre-IPO SPACs'!E956</f>
        <v/>
      </c>
      <c r="F955" s="91" t="str">
        <f>'Active and Pre-IPO SPACs'!F956</f>
        <v/>
      </c>
      <c r="G955" s="103" t="str">
        <f>'Active and Pre-IPO SPACs'!P956</f>
        <v/>
      </c>
      <c r="H955" s="103" t="str">
        <f>'Active and Pre-IPO SPACs'!Q956</f>
        <v/>
      </c>
      <c r="I955" s="91" t="str">
        <f>'Active and Pre-IPO SPACs'!K956</f>
        <v/>
      </c>
    </row>
    <row r="956">
      <c r="A956" s="103" t="str">
        <f>'Active and Pre-IPO SPACs'!A957</f>
        <v/>
      </c>
      <c r="B956" s="91" t="str">
        <f>'Active and Pre-IPO SPACs'!B957</f>
        <v/>
      </c>
      <c r="C956" s="91" t="str">
        <f>'Active and Pre-IPO SPACs'!C957</f>
        <v/>
      </c>
      <c r="D956" s="91" t="str">
        <f>'Active and Pre-IPO SPACs'!D957</f>
        <v/>
      </c>
      <c r="E956" s="91" t="str">
        <f>'Active and Pre-IPO SPACs'!E957</f>
        <v/>
      </c>
      <c r="F956" s="91" t="str">
        <f>'Active and Pre-IPO SPACs'!F957</f>
        <v/>
      </c>
      <c r="G956" s="103" t="str">
        <f>'Active and Pre-IPO SPACs'!P957</f>
        <v/>
      </c>
      <c r="H956" s="103" t="str">
        <f>'Active and Pre-IPO SPACs'!Q957</f>
        <v/>
      </c>
      <c r="I956" s="91" t="str">
        <f>'Active and Pre-IPO SPACs'!K957</f>
        <v/>
      </c>
    </row>
    <row r="957">
      <c r="A957" s="103" t="str">
        <f>'Active and Pre-IPO SPACs'!A958</f>
        <v/>
      </c>
      <c r="B957" s="91" t="str">
        <f>'Active and Pre-IPO SPACs'!B958</f>
        <v/>
      </c>
      <c r="C957" s="91" t="str">
        <f>'Active and Pre-IPO SPACs'!C958</f>
        <v/>
      </c>
      <c r="D957" s="91" t="str">
        <f>'Active and Pre-IPO SPACs'!D958</f>
        <v/>
      </c>
      <c r="E957" s="91" t="str">
        <f>'Active and Pre-IPO SPACs'!E958</f>
        <v/>
      </c>
      <c r="F957" s="91" t="str">
        <f>'Active and Pre-IPO SPACs'!F958</f>
        <v/>
      </c>
      <c r="G957" s="103" t="str">
        <f>'Active and Pre-IPO SPACs'!P958</f>
        <v/>
      </c>
      <c r="H957" s="103" t="str">
        <f>'Active and Pre-IPO SPACs'!Q958</f>
        <v/>
      </c>
      <c r="I957" s="91" t="str">
        <f>'Active and Pre-IPO SPACs'!K958</f>
        <v/>
      </c>
    </row>
    <row r="958">
      <c r="A958" s="103" t="str">
        <f>'Active and Pre-IPO SPACs'!A959</f>
        <v/>
      </c>
      <c r="B958" s="91" t="str">
        <f>'Active and Pre-IPO SPACs'!B959</f>
        <v/>
      </c>
      <c r="C958" s="91" t="str">
        <f>'Active and Pre-IPO SPACs'!C959</f>
        <v/>
      </c>
      <c r="D958" s="91" t="str">
        <f>'Active and Pre-IPO SPACs'!D959</f>
        <v/>
      </c>
      <c r="E958" s="91" t="str">
        <f>'Active and Pre-IPO SPACs'!E959</f>
        <v/>
      </c>
      <c r="F958" s="91" t="str">
        <f>'Active and Pre-IPO SPACs'!F959</f>
        <v/>
      </c>
      <c r="G958" s="103" t="str">
        <f>'Active and Pre-IPO SPACs'!P959</f>
        <v/>
      </c>
      <c r="H958" s="103" t="str">
        <f>'Active and Pre-IPO SPACs'!Q959</f>
        <v/>
      </c>
      <c r="I958" s="91" t="str">
        <f>'Active and Pre-IPO SPACs'!K959</f>
        <v/>
      </c>
    </row>
    <row r="959">
      <c r="A959" s="103" t="str">
        <f>'Active and Pre-IPO SPACs'!A960</f>
        <v/>
      </c>
      <c r="B959" s="91" t="str">
        <f>'Active and Pre-IPO SPACs'!B960</f>
        <v/>
      </c>
      <c r="C959" s="91" t="str">
        <f>'Active and Pre-IPO SPACs'!C960</f>
        <v/>
      </c>
      <c r="D959" s="91" t="str">
        <f>'Active and Pre-IPO SPACs'!D960</f>
        <v/>
      </c>
      <c r="E959" s="91" t="str">
        <f>'Active and Pre-IPO SPACs'!E960</f>
        <v/>
      </c>
      <c r="F959" s="91" t="str">
        <f>'Active and Pre-IPO SPACs'!F960</f>
        <v/>
      </c>
      <c r="G959" s="103" t="str">
        <f>'Active and Pre-IPO SPACs'!P960</f>
        <v/>
      </c>
      <c r="H959" s="103" t="str">
        <f>'Active and Pre-IPO SPACs'!Q960</f>
        <v/>
      </c>
      <c r="I959" s="91" t="str">
        <f>'Active and Pre-IPO SPACs'!K960</f>
        <v/>
      </c>
    </row>
    <row r="960">
      <c r="A960" s="103" t="str">
        <f>'Active and Pre-IPO SPACs'!A961</f>
        <v/>
      </c>
      <c r="B960" s="91" t="str">
        <f>'Active and Pre-IPO SPACs'!B961</f>
        <v/>
      </c>
      <c r="C960" s="91" t="str">
        <f>'Active and Pre-IPO SPACs'!C961</f>
        <v/>
      </c>
      <c r="D960" s="91" t="str">
        <f>'Active and Pre-IPO SPACs'!D961</f>
        <v/>
      </c>
      <c r="E960" s="91" t="str">
        <f>'Active and Pre-IPO SPACs'!E961</f>
        <v/>
      </c>
      <c r="F960" s="91" t="str">
        <f>'Active and Pre-IPO SPACs'!F961</f>
        <v/>
      </c>
      <c r="G960" s="103" t="str">
        <f>'Active and Pre-IPO SPACs'!P961</f>
        <v/>
      </c>
      <c r="H960" s="103" t="str">
        <f>'Active and Pre-IPO SPACs'!Q961</f>
        <v/>
      </c>
      <c r="I960" s="91" t="str">
        <f>'Active and Pre-IPO SPACs'!K961</f>
        <v/>
      </c>
    </row>
    <row r="961">
      <c r="A961" s="103" t="str">
        <f>'Active and Pre-IPO SPACs'!A962</f>
        <v/>
      </c>
      <c r="B961" s="91" t="str">
        <f>'Active and Pre-IPO SPACs'!B962</f>
        <v/>
      </c>
      <c r="C961" s="91" t="str">
        <f>'Active and Pre-IPO SPACs'!C962</f>
        <v/>
      </c>
      <c r="D961" s="91" t="str">
        <f>'Active and Pre-IPO SPACs'!D962</f>
        <v/>
      </c>
      <c r="E961" s="91" t="str">
        <f>'Active and Pre-IPO SPACs'!E962</f>
        <v/>
      </c>
      <c r="F961" s="91" t="str">
        <f>'Active and Pre-IPO SPACs'!F962</f>
        <v/>
      </c>
      <c r="G961" s="103" t="str">
        <f>'Active and Pre-IPO SPACs'!P962</f>
        <v/>
      </c>
      <c r="H961" s="103" t="str">
        <f>'Active and Pre-IPO SPACs'!Q962</f>
        <v/>
      </c>
      <c r="I961" s="91" t="str">
        <f>'Active and Pre-IPO SPACs'!K962</f>
        <v/>
      </c>
    </row>
    <row r="962">
      <c r="A962" s="103" t="str">
        <f>'Active and Pre-IPO SPACs'!A963</f>
        <v/>
      </c>
      <c r="B962" s="91" t="str">
        <f>'Active and Pre-IPO SPACs'!B963</f>
        <v/>
      </c>
      <c r="C962" s="91" t="str">
        <f>'Active and Pre-IPO SPACs'!C963</f>
        <v/>
      </c>
      <c r="D962" s="91" t="str">
        <f>'Active and Pre-IPO SPACs'!D963</f>
        <v/>
      </c>
      <c r="E962" s="91" t="str">
        <f>'Active and Pre-IPO SPACs'!E963</f>
        <v/>
      </c>
      <c r="F962" s="91" t="str">
        <f>'Active and Pre-IPO SPACs'!F963</f>
        <v/>
      </c>
      <c r="G962" s="103" t="str">
        <f>'Active and Pre-IPO SPACs'!P963</f>
        <v/>
      </c>
      <c r="H962" s="103" t="str">
        <f>'Active and Pre-IPO SPACs'!Q963</f>
        <v/>
      </c>
      <c r="I962" s="91" t="str">
        <f>'Active and Pre-IPO SPACs'!K963</f>
        <v/>
      </c>
    </row>
    <row r="963">
      <c r="A963" s="103" t="str">
        <f>'Active and Pre-IPO SPACs'!A964</f>
        <v/>
      </c>
      <c r="B963" s="91" t="str">
        <f>'Active and Pre-IPO SPACs'!B964</f>
        <v/>
      </c>
      <c r="C963" s="91" t="str">
        <f>'Active and Pre-IPO SPACs'!C964</f>
        <v/>
      </c>
      <c r="D963" s="91" t="str">
        <f>'Active and Pre-IPO SPACs'!D964</f>
        <v/>
      </c>
      <c r="E963" s="91" t="str">
        <f>'Active and Pre-IPO SPACs'!E964</f>
        <v/>
      </c>
      <c r="F963" s="91" t="str">
        <f>'Active and Pre-IPO SPACs'!F964</f>
        <v/>
      </c>
      <c r="G963" s="103" t="str">
        <f>'Active and Pre-IPO SPACs'!P964</f>
        <v/>
      </c>
      <c r="H963" s="103" t="str">
        <f>'Active and Pre-IPO SPACs'!Q964</f>
        <v/>
      </c>
      <c r="I963" s="91" t="str">
        <f>'Active and Pre-IPO SPACs'!K964</f>
        <v/>
      </c>
    </row>
    <row r="964">
      <c r="A964" s="103" t="str">
        <f>'Active and Pre-IPO SPACs'!A965</f>
        <v/>
      </c>
      <c r="B964" s="91" t="str">
        <f>'Active and Pre-IPO SPACs'!B965</f>
        <v/>
      </c>
      <c r="C964" s="91" t="str">
        <f>'Active and Pre-IPO SPACs'!C965</f>
        <v/>
      </c>
      <c r="D964" s="91" t="str">
        <f>'Active and Pre-IPO SPACs'!D965</f>
        <v/>
      </c>
      <c r="E964" s="91" t="str">
        <f>'Active and Pre-IPO SPACs'!E965</f>
        <v/>
      </c>
      <c r="F964" s="91" t="str">
        <f>'Active and Pre-IPO SPACs'!F965</f>
        <v/>
      </c>
      <c r="G964" s="103" t="str">
        <f>'Active and Pre-IPO SPACs'!P965</f>
        <v/>
      </c>
      <c r="H964" s="103" t="str">
        <f>'Active and Pre-IPO SPACs'!Q965</f>
        <v/>
      </c>
      <c r="I964" s="91" t="str">
        <f>'Active and Pre-IPO SPACs'!K965</f>
        <v/>
      </c>
    </row>
    <row r="965">
      <c r="A965" s="103" t="str">
        <f>'Active and Pre-IPO SPACs'!A966</f>
        <v/>
      </c>
      <c r="B965" s="91" t="str">
        <f>'Active and Pre-IPO SPACs'!B966</f>
        <v/>
      </c>
      <c r="C965" s="91" t="str">
        <f>'Active and Pre-IPO SPACs'!C966</f>
        <v/>
      </c>
      <c r="D965" s="91" t="str">
        <f>'Active and Pre-IPO SPACs'!D966</f>
        <v/>
      </c>
      <c r="E965" s="91" t="str">
        <f>'Active and Pre-IPO SPACs'!E966</f>
        <v/>
      </c>
      <c r="F965" s="91" t="str">
        <f>'Active and Pre-IPO SPACs'!F966</f>
        <v/>
      </c>
      <c r="G965" s="103" t="str">
        <f>'Active and Pre-IPO SPACs'!P966</f>
        <v/>
      </c>
      <c r="H965" s="103" t="str">
        <f>'Active and Pre-IPO SPACs'!Q966</f>
        <v/>
      </c>
      <c r="I965" s="91" t="str">
        <f>'Active and Pre-IPO SPACs'!K966</f>
        <v/>
      </c>
    </row>
    <row r="966">
      <c r="A966" s="103" t="str">
        <f>'Active and Pre-IPO SPACs'!A967</f>
        <v/>
      </c>
      <c r="B966" s="91" t="str">
        <f>'Active and Pre-IPO SPACs'!B967</f>
        <v/>
      </c>
      <c r="C966" s="91" t="str">
        <f>'Active and Pre-IPO SPACs'!C967</f>
        <v/>
      </c>
      <c r="D966" s="91" t="str">
        <f>'Active and Pre-IPO SPACs'!D967</f>
        <v/>
      </c>
      <c r="E966" s="91" t="str">
        <f>'Active and Pre-IPO SPACs'!E967</f>
        <v/>
      </c>
      <c r="F966" s="91" t="str">
        <f>'Active and Pre-IPO SPACs'!F967</f>
        <v/>
      </c>
      <c r="G966" s="103" t="str">
        <f>'Active and Pre-IPO SPACs'!P967</f>
        <v/>
      </c>
      <c r="H966" s="103" t="str">
        <f>'Active and Pre-IPO SPACs'!Q967</f>
        <v/>
      </c>
      <c r="I966" s="91" t="str">
        <f>'Active and Pre-IPO SPACs'!K967</f>
        <v/>
      </c>
    </row>
    <row r="967">
      <c r="A967" s="103" t="str">
        <f>'Active and Pre-IPO SPACs'!A968</f>
        <v/>
      </c>
      <c r="B967" s="91" t="str">
        <f>'Active and Pre-IPO SPACs'!B968</f>
        <v/>
      </c>
      <c r="C967" s="91" t="str">
        <f>'Active and Pre-IPO SPACs'!C968</f>
        <v/>
      </c>
      <c r="D967" s="91" t="str">
        <f>'Active and Pre-IPO SPACs'!D968</f>
        <v/>
      </c>
      <c r="E967" s="91" t="str">
        <f>'Active and Pre-IPO SPACs'!E968</f>
        <v/>
      </c>
      <c r="F967" s="91" t="str">
        <f>'Active and Pre-IPO SPACs'!F968</f>
        <v/>
      </c>
      <c r="G967" s="103" t="str">
        <f>'Active and Pre-IPO SPACs'!P968</f>
        <v/>
      </c>
      <c r="H967" s="103" t="str">
        <f>'Active and Pre-IPO SPACs'!Q968</f>
        <v/>
      </c>
      <c r="I967" s="91" t="str">
        <f>'Active and Pre-IPO SPACs'!K968</f>
        <v/>
      </c>
    </row>
    <row r="968">
      <c r="A968" s="103" t="str">
        <f>'Active and Pre-IPO SPACs'!A969</f>
        <v/>
      </c>
      <c r="B968" s="91" t="str">
        <f>'Active and Pre-IPO SPACs'!B969</f>
        <v/>
      </c>
      <c r="C968" s="91" t="str">
        <f>'Active and Pre-IPO SPACs'!C969</f>
        <v/>
      </c>
      <c r="D968" s="91" t="str">
        <f>'Active and Pre-IPO SPACs'!D969</f>
        <v/>
      </c>
      <c r="E968" s="91" t="str">
        <f>'Active and Pre-IPO SPACs'!E969</f>
        <v/>
      </c>
      <c r="F968" s="91" t="str">
        <f>'Active and Pre-IPO SPACs'!F969</f>
        <v/>
      </c>
      <c r="G968" s="103" t="str">
        <f>'Active and Pre-IPO SPACs'!P969</f>
        <v/>
      </c>
      <c r="H968" s="103" t="str">
        <f>'Active and Pre-IPO SPACs'!Q969</f>
        <v/>
      </c>
      <c r="I968" s="91" t="str">
        <f>'Active and Pre-IPO SPACs'!K969</f>
        <v/>
      </c>
    </row>
    <row r="969">
      <c r="A969" s="103" t="str">
        <f>'Active and Pre-IPO SPACs'!A970</f>
        <v/>
      </c>
      <c r="B969" s="91" t="str">
        <f>'Active and Pre-IPO SPACs'!B970</f>
        <v/>
      </c>
      <c r="C969" s="91" t="str">
        <f>'Active and Pre-IPO SPACs'!C970</f>
        <v/>
      </c>
      <c r="D969" s="91" t="str">
        <f>'Active and Pre-IPO SPACs'!D970</f>
        <v/>
      </c>
      <c r="E969" s="91" t="str">
        <f>'Active and Pre-IPO SPACs'!E970</f>
        <v/>
      </c>
      <c r="F969" s="91" t="str">
        <f>'Active and Pre-IPO SPACs'!F970</f>
        <v/>
      </c>
      <c r="G969" s="103" t="str">
        <f>'Active and Pre-IPO SPACs'!P970</f>
        <v/>
      </c>
      <c r="H969" s="103" t="str">
        <f>'Active and Pre-IPO SPACs'!Q970</f>
        <v/>
      </c>
      <c r="I969" s="91" t="str">
        <f>'Active and Pre-IPO SPACs'!K970</f>
        <v/>
      </c>
    </row>
    <row r="970">
      <c r="A970" s="103" t="str">
        <f>'Active and Pre-IPO SPACs'!A971</f>
        <v/>
      </c>
      <c r="B970" s="91" t="str">
        <f>'Active and Pre-IPO SPACs'!B971</f>
        <v/>
      </c>
      <c r="C970" s="91" t="str">
        <f>'Active and Pre-IPO SPACs'!C971</f>
        <v/>
      </c>
      <c r="D970" s="91" t="str">
        <f>'Active and Pre-IPO SPACs'!D971</f>
        <v/>
      </c>
      <c r="E970" s="91" t="str">
        <f>'Active and Pre-IPO SPACs'!E971</f>
        <v/>
      </c>
      <c r="F970" s="91" t="str">
        <f>'Active and Pre-IPO SPACs'!F971</f>
        <v/>
      </c>
      <c r="G970" s="103" t="str">
        <f>'Active and Pre-IPO SPACs'!P971</f>
        <v/>
      </c>
      <c r="H970" s="103" t="str">
        <f>'Active and Pre-IPO SPACs'!Q971</f>
        <v/>
      </c>
      <c r="I970" s="91" t="str">
        <f>'Active and Pre-IPO SPACs'!K971</f>
        <v/>
      </c>
    </row>
    <row r="971">
      <c r="A971" s="103" t="str">
        <f>'Active and Pre-IPO SPACs'!A972</f>
        <v/>
      </c>
      <c r="B971" s="91" t="str">
        <f>'Active and Pre-IPO SPACs'!B972</f>
        <v/>
      </c>
      <c r="C971" s="91" t="str">
        <f>'Active and Pre-IPO SPACs'!C972</f>
        <v/>
      </c>
      <c r="D971" s="91" t="str">
        <f>'Active and Pre-IPO SPACs'!D972</f>
        <v/>
      </c>
      <c r="E971" s="91" t="str">
        <f>'Active and Pre-IPO SPACs'!E972</f>
        <v/>
      </c>
      <c r="F971" s="91" t="str">
        <f>'Active and Pre-IPO SPACs'!F972</f>
        <v/>
      </c>
      <c r="G971" s="103" t="str">
        <f>'Active and Pre-IPO SPACs'!P972</f>
        <v/>
      </c>
      <c r="H971" s="103" t="str">
        <f>'Active and Pre-IPO SPACs'!Q972</f>
        <v/>
      </c>
      <c r="I971" s="91" t="str">
        <f>'Active and Pre-IPO SPACs'!K972</f>
        <v/>
      </c>
    </row>
  </sheetData>
  <mergeCells count="3">
    <mergeCell ref="B1:B2"/>
    <mergeCell ref="C1:I1"/>
    <mergeCell ref="C2:I2"/>
  </mergeCells>
  <hyperlinks>
    <hyperlink r:id="rId1" ref="C2"/>
  </hyperlinks>
  <drawing r:id="rId2"/>
</worksheet>
</file>